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735" activeTab="2"/>
  </bookViews>
  <sheets>
    <sheet name="1st and 2ndDistribution True-up" sheetId="1" r:id="rId1"/>
    <sheet name="3rd Distribution True-up" sheetId="3" r:id="rId2"/>
    <sheet name="APR 2019-20" sheetId="5" r:id="rId3"/>
  </sheets>
  <externalReferences>
    <externalReference r:id="rId4"/>
    <externalReference r:id="rId5"/>
    <externalReference r:id="rId6"/>
  </externalReferences>
  <definedNames>
    <definedName name="__Apr02" localSheetId="0">[1]Newabstract!#REF!</definedName>
    <definedName name="__Apr02" localSheetId="1">[1]Newabstract!#REF!</definedName>
    <definedName name="__Apr02">[1]Newabstract!#REF!</definedName>
    <definedName name="__Apr03" localSheetId="0">[1]Newabstract!#REF!</definedName>
    <definedName name="__Apr03" localSheetId="1">[1]Newabstract!#REF!</definedName>
    <definedName name="__Apr03">[1]Newabstract!#REF!</definedName>
    <definedName name="__Apr04" localSheetId="0">[1]Newabstract!#REF!</definedName>
    <definedName name="__Apr04" localSheetId="1">[1]Newabstract!#REF!</definedName>
    <definedName name="__Apr04">[1]Newabstract!#REF!</definedName>
    <definedName name="__Apr05" localSheetId="0">[1]Newabstract!#REF!</definedName>
    <definedName name="__Apr05" localSheetId="1">[1]Newabstract!#REF!</definedName>
    <definedName name="__Apr05">[1]Newabstract!#REF!</definedName>
    <definedName name="__Apr06" localSheetId="0">[1]Newabstract!#REF!</definedName>
    <definedName name="__Apr06" localSheetId="1">[1]Newabstract!#REF!</definedName>
    <definedName name="__Apr06">[1]Newabstract!#REF!</definedName>
    <definedName name="__Apr07" localSheetId="0">[1]Newabstract!#REF!</definedName>
    <definedName name="__Apr07" localSheetId="1">[1]Newabstract!#REF!</definedName>
    <definedName name="__Apr07">[1]Newabstract!#REF!</definedName>
    <definedName name="__Apr08" localSheetId="0">[1]Newabstract!#REF!</definedName>
    <definedName name="__Apr08" localSheetId="1">[1]Newabstract!#REF!</definedName>
    <definedName name="__Apr08">[1]Newabstract!#REF!</definedName>
    <definedName name="__Apr09" localSheetId="0">[1]Newabstract!#REF!</definedName>
    <definedName name="__Apr09" localSheetId="1">[1]Newabstract!#REF!</definedName>
    <definedName name="__Apr09">[1]Newabstract!#REF!</definedName>
    <definedName name="__Apr10" localSheetId="0">[1]Newabstract!#REF!</definedName>
    <definedName name="__Apr10" localSheetId="1">[1]Newabstract!#REF!</definedName>
    <definedName name="__Apr10">[1]Newabstract!#REF!</definedName>
    <definedName name="__Apr11" localSheetId="0">[1]Newabstract!#REF!</definedName>
    <definedName name="__Apr11" localSheetId="1">[1]Newabstract!#REF!</definedName>
    <definedName name="__Apr11">[1]Newabstract!#REF!</definedName>
    <definedName name="__Apr13" localSheetId="0">[1]Newabstract!#REF!</definedName>
    <definedName name="__Apr13" localSheetId="1">[1]Newabstract!#REF!</definedName>
    <definedName name="__Apr13">[1]Newabstract!#REF!</definedName>
    <definedName name="__Apr14" localSheetId="0">[1]Newabstract!#REF!</definedName>
    <definedName name="__Apr14" localSheetId="1">[1]Newabstract!#REF!</definedName>
    <definedName name="__Apr14">[1]Newabstract!#REF!</definedName>
    <definedName name="__Apr15" localSheetId="0">[1]Newabstract!#REF!</definedName>
    <definedName name="__Apr15" localSheetId="1">[1]Newabstract!#REF!</definedName>
    <definedName name="__Apr15">[1]Newabstract!#REF!</definedName>
    <definedName name="__Apr16" localSheetId="0">[1]Newabstract!#REF!</definedName>
    <definedName name="__Apr16" localSheetId="1">[1]Newabstract!#REF!</definedName>
    <definedName name="__Apr16">[1]Newabstract!#REF!</definedName>
    <definedName name="__Apr17" localSheetId="0">[1]Newabstract!#REF!</definedName>
    <definedName name="__Apr17" localSheetId="1">[1]Newabstract!#REF!</definedName>
    <definedName name="__Apr17">[1]Newabstract!#REF!</definedName>
    <definedName name="__Apr20" localSheetId="0">[1]Newabstract!#REF!</definedName>
    <definedName name="__Apr20" localSheetId="1">[1]Newabstract!#REF!</definedName>
    <definedName name="__Apr20">[1]Newabstract!#REF!</definedName>
    <definedName name="__Apr21" localSheetId="0">[1]Newabstract!#REF!</definedName>
    <definedName name="__Apr21" localSheetId="1">[1]Newabstract!#REF!</definedName>
    <definedName name="__Apr21">[1]Newabstract!#REF!</definedName>
    <definedName name="__Apr22" localSheetId="0">[1]Newabstract!#REF!</definedName>
    <definedName name="__Apr22" localSheetId="1">[1]Newabstract!#REF!</definedName>
    <definedName name="__Apr22">[1]Newabstract!#REF!</definedName>
    <definedName name="__Apr23" localSheetId="0">[1]Newabstract!#REF!</definedName>
    <definedName name="__Apr23" localSheetId="1">[1]Newabstract!#REF!</definedName>
    <definedName name="__Apr23">[1]Newabstract!#REF!</definedName>
    <definedName name="__Apr24" localSheetId="0">[1]Newabstract!#REF!</definedName>
    <definedName name="__Apr24" localSheetId="1">[1]Newabstract!#REF!</definedName>
    <definedName name="__Apr24">[1]Newabstract!#REF!</definedName>
    <definedName name="__Apr27" localSheetId="0">[1]Newabstract!#REF!</definedName>
    <definedName name="__Apr27" localSheetId="1">[1]Newabstract!#REF!</definedName>
    <definedName name="__Apr27">[1]Newabstract!#REF!</definedName>
    <definedName name="__Apr28" localSheetId="0">[1]Newabstract!#REF!</definedName>
    <definedName name="__Apr28" localSheetId="1">[1]Newabstract!#REF!</definedName>
    <definedName name="__Apr28">[1]Newabstract!#REF!</definedName>
    <definedName name="__Apr29" localSheetId="0">[1]Newabstract!#REF!</definedName>
    <definedName name="__Apr29" localSheetId="1">[1]Newabstract!#REF!</definedName>
    <definedName name="__Apr29">[1]Newabstract!#REF!</definedName>
    <definedName name="__Apr30" localSheetId="0">[1]Newabstract!#REF!</definedName>
    <definedName name="__Apr30" localSheetId="1">[1]Newabstract!#REF!</definedName>
    <definedName name="__Apr30">[1]Newabstract!#REF!</definedName>
    <definedName name="__Mar06" localSheetId="0">[1]Newabstract!#REF!</definedName>
    <definedName name="__Mar06" localSheetId="1">[1]Newabstract!#REF!</definedName>
    <definedName name="__Mar06">[1]Newabstract!#REF!</definedName>
    <definedName name="__Mar09" localSheetId="0">[1]Newabstract!#REF!</definedName>
    <definedName name="__Mar09" localSheetId="1">[1]Newabstract!#REF!</definedName>
    <definedName name="__Mar09">[1]Newabstract!#REF!</definedName>
    <definedName name="__Mar10" localSheetId="0">[1]Newabstract!#REF!</definedName>
    <definedName name="__Mar10" localSheetId="1">[1]Newabstract!#REF!</definedName>
    <definedName name="__Mar10">[1]Newabstract!#REF!</definedName>
    <definedName name="__Mar11" localSheetId="0">[1]Newabstract!#REF!</definedName>
    <definedName name="__Mar11" localSheetId="1">[1]Newabstract!#REF!</definedName>
    <definedName name="__Mar11">[1]Newabstract!#REF!</definedName>
    <definedName name="__Mar12" localSheetId="0">[1]Newabstract!#REF!</definedName>
    <definedName name="__Mar12" localSheetId="1">[1]Newabstract!#REF!</definedName>
    <definedName name="__Mar12">[1]Newabstract!#REF!</definedName>
    <definedName name="__Mar13" localSheetId="0">[1]Newabstract!#REF!</definedName>
    <definedName name="__Mar13" localSheetId="1">[1]Newabstract!#REF!</definedName>
    <definedName name="__Mar13">[1]Newabstract!#REF!</definedName>
    <definedName name="__Mar16" localSheetId="0">[1]Newabstract!#REF!</definedName>
    <definedName name="__Mar16" localSheetId="1">[1]Newabstract!#REF!</definedName>
    <definedName name="__Mar16">[1]Newabstract!#REF!</definedName>
    <definedName name="__Mar17" localSheetId="0">[1]Newabstract!#REF!</definedName>
    <definedName name="__Mar17" localSheetId="1">[1]Newabstract!#REF!</definedName>
    <definedName name="__Mar17">[1]Newabstract!#REF!</definedName>
    <definedName name="__Mar18" localSheetId="0">[1]Newabstract!#REF!</definedName>
    <definedName name="__Mar18" localSheetId="1">[1]Newabstract!#REF!</definedName>
    <definedName name="__Mar18">[1]Newabstract!#REF!</definedName>
    <definedName name="__Mar19" localSheetId="0">[1]Newabstract!#REF!</definedName>
    <definedName name="__Mar19" localSheetId="1">[1]Newabstract!#REF!</definedName>
    <definedName name="__Mar19">[1]Newabstract!#REF!</definedName>
    <definedName name="__Mar20" localSheetId="0">[1]Newabstract!#REF!</definedName>
    <definedName name="__Mar20" localSheetId="1">[1]Newabstract!#REF!</definedName>
    <definedName name="__Mar20">[1]Newabstract!#REF!</definedName>
    <definedName name="__Mar23" localSheetId="0">[1]Newabstract!#REF!</definedName>
    <definedName name="__Mar23" localSheetId="1">[1]Newabstract!#REF!</definedName>
    <definedName name="__Mar23">[1]Newabstract!#REF!</definedName>
    <definedName name="__Mar24" localSheetId="0">[1]Newabstract!#REF!</definedName>
    <definedName name="__Mar24" localSheetId="1">[1]Newabstract!#REF!</definedName>
    <definedName name="__Mar24">[1]Newabstract!#REF!</definedName>
    <definedName name="__Mar25" localSheetId="0">[1]Newabstract!#REF!</definedName>
    <definedName name="__Mar25" localSheetId="1">[1]Newabstract!#REF!</definedName>
    <definedName name="__Mar25">[1]Newabstract!#REF!</definedName>
    <definedName name="__Mar26" localSheetId="0">[1]Newabstract!#REF!</definedName>
    <definedName name="__Mar26" localSheetId="1">[1]Newabstract!#REF!</definedName>
    <definedName name="__Mar26">[1]Newabstract!#REF!</definedName>
    <definedName name="__Mar27" localSheetId="0">[1]Newabstract!#REF!</definedName>
    <definedName name="__Mar27" localSheetId="1">[1]Newabstract!#REF!</definedName>
    <definedName name="__Mar27">[1]Newabstract!#REF!</definedName>
    <definedName name="__Mar28" localSheetId="0">[1]Newabstract!#REF!</definedName>
    <definedName name="__Mar28" localSheetId="1">[1]Newabstract!#REF!</definedName>
    <definedName name="__Mar28">[1]Newabstract!#REF!</definedName>
    <definedName name="__Mar30" localSheetId="0">[1]Newabstract!#REF!</definedName>
    <definedName name="__Mar30" localSheetId="1">[1]Newabstract!#REF!</definedName>
    <definedName name="__Mar30">[1]Newabstract!#REF!</definedName>
    <definedName name="__Mar31" localSheetId="0">[1]Newabstract!#REF!</definedName>
    <definedName name="__Mar31" localSheetId="1">[1]Newabstract!#REF!</definedName>
    <definedName name="__Mar31">[1]Newabstract!#REF!</definedName>
    <definedName name="_BSD1" localSheetId="0">#REF!</definedName>
    <definedName name="_BSD1" localSheetId="1">#REF!</definedName>
    <definedName name="_BSD1">#REF!</definedName>
    <definedName name="_BSD2" localSheetId="0">#REF!</definedName>
    <definedName name="_BSD2" localSheetId="1">#REF!</definedName>
    <definedName name="_BSD2">#REF!</definedName>
    <definedName name="_IED1" localSheetId="0">#REF!</definedName>
    <definedName name="_IED1" localSheetId="1">#REF!</definedName>
    <definedName name="_IED1">#REF!</definedName>
    <definedName name="_IED2" localSheetId="0">#REF!</definedName>
    <definedName name="_IED2" localSheetId="1">#REF!</definedName>
    <definedName name="_IED2">#REF!</definedName>
    <definedName name="DATA1" localSheetId="0">[2]Sheet1!#REF!</definedName>
    <definedName name="DATA1" localSheetId="1">[2]Sheet1!#REF!</definedName>
    <definedName name="DATA1">[2]Sheet1!#REF!</definedName>
    <definedName name="Discom1F1" localSheetId="0">#REF!</definedName>
    <definedName name="Discom1F1" localSheetId="1">#REF!</definedName>
    <definedName name="Discom1F1">#REF!</definedName>
    <definedName name="Discom1F2" localSheetId="0">#REF!</definedName>
    <definedName name="Discom1F2" localSheetId="1">#REF!</definedName>
    <definedName name="Discom1F2">#REF!</definedName>
    <definedName name="Discom1F3" localSheetId="0">#REF!</definedName>
    <definedName name="Discom1F3" localSheetId="1">#REF!</definedName>
    <definedName name="Discom1F3">#REF!</definedName>
    <definedName name="Discom1F4" localSheetId="0">#REF!</definedName>
    <definedName name="Discom1F4" localSheetId="1">#REF!</definedName>
    <definedName name="Discom1F4">#REF!</definedName>
    <definedName name="Discom1F6" localSheetId="0">#REF!</definedName>
    <definedName name="Discom1F6" localSheetId="1">#REF!</definedName>
    <definedName name="Discom1F6">#REF!</definedName>
    <definedName name="Discom2F1" localSheetId="0">#REF!</definedName>
    <definedName name="Discom2F1" localSheetId="1">#REF!</definedName>
    <definedName name="Discom2F1">#REF!</definedName>
    <definedName name="Discom2F2" localSheetId="0">#REF!</definedName>
    <definedName name="Discom2F2" localSheetId="1">#REF!</definedName>
    <definedName name="Discom2F2">#REF!</definedName>
    <definedName name="Discom2F3" localSheetId="0">#REF!</definedName>
    <definedName name="Discom2F3" localSheetId="1">#REF!</definedName>
    <definedName name="Discom2F3">#REF!</definedName>
    <definedName name="Discom2F4" localSheetId="0">#REF!</definedName>
    <definedName name="Discom2F4" localSheetId="1">#REF!</definedName>
    <definedName name="Discom2F4">#REF!</definedName>
    <definedName name="Discom2F6" localSheetId="0">#REF!</definedName>
    <definedName name="Discom2F6" localSheetId="1">#REF!</definedName>
    <definedName name="Discom2F6">#REF!</definedName>
    <definedName name="List_1">'[3]Long-Term Borrowings'!$K$2:$K$3</definedName>
    <definedName name="_xlnm.Print_Area" localSheetId="0">'1st and 2ndDistribution True-up'!$A$2:$AF$100</definedName>
    <definedName name="_xlnm.Print_Area" localSheetId="1">'3rd Distribution True-up'!$A$2:$U$79</definedName>
    <definedName name="_xlnm.Print_Area" localSheetId="2">'APR 2019-20'!$A$1:$F$162</definedName>
    <definedName name="_xlnm.Print_Titles" localSheetId="0">'1st and 2ndDistribution True-up'!$A:$C,'1st and 2ndDistribution True-up'!$2:$4</definedName>
    <definedName name="_xlnm.Print_Titles" localSheetId="1">'3rd Distribution True-up'!$A:$C,'3rd Distribution True-up'!$2:$4</definedName>
    <definedName name="TESTKEYS" localSheetId="0">[2]Sheet1!#REF!</definedName>
    <definedName name="TESTKEYS" localSheetId="1">[2]Sheet1!#REF!</definedName>
    <definedName name="TESTKEYS">[2]Sheet1!#REF!</definedName>
    <definedName name="TESTVKEY" localSheetId="0">[2]Sheet1!#REF!</definedName>
    <definedName name="TESTVKEY" localSheetId="1">[2]Sheet1!#REF!</definedName>
    <definedName name="TESTVKEY">[2]Sheet1!#REF!</definedName>
    <definedName name="YEAR" localSheetId="0">#REF!</definedName>
    <definedName name="YEAR" localSheetId="1">#REF!</definedName>
    <definedName name="YEAR">#REF!</definedName>
  </definedNames>
  <calcPr calcId="144525"/>
</workbook>
</file>

<file path=xl/calcChain.xml><?xml version="1.0" encoding="utf-8"?>
<calcChain xmlns="http://schemas.openxmlformats.org/spreadsheetml/2006/main">
  <c r="F45" i="1" l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E45" i="1"/>
  <c r="C149" i="5" l="1"/>
  <c r="C160" i="5" s="1"/>
  <c r="D32" i="5" s="1"/>
  <c r="C146" i="5"/>
  <c r="D135" i="5"/>
  <c r="D9" i="5" s="1"/>
  <c r="E9" i="5" s="1"/>
  <c r="C135" i="5"/>
  <c r="E134" i="5"/>
  <c r="E133" i="5"/>
  <c r="E132" i="5"/>
  <c r="C119" i="5"/>
  <c r="E117" i="5"/>
  <c r="E116" i="5"/>
  <c r="E115" i="5"/>
  <c r="D114" i="5"/>
  <c r="C114" i="5"/>
  <c r="D113" i="5"/>
  <c r="D119" i="5" s="1"/>
  <c r="E112" i="5"/>
  <c r="C111" i="5"/>
  <c r="E110" i="5"/>
  <c r="E109" i="5"/>
  <c r="D108" i="5"/>
  <c r="E108" i="5" s="1"/>
  <c r="C108" i="5"/>
  <c r="C102" i="5"/>
  <c r="E101" i="5"/>
  <c r="E99" i="5"/>
  <c r="E98" i="5"/>
  <c r="F94" i="5"/>
  <c r="D100" i="5" s="1"/>
  <c r="D102" i="5" s="1"/>
  <c r="E102" i="5" s="1"/>
  <c r="D88" i="5"/>
  <c r="E88" i="5" s="1"/>
  <c r="D81" i="5"/>
  <c r="C81" i="5"/>
  <c r="D80" i="5"/>
  <c r="C80" i="5"/>
  <c r="D79" i="5"/>
  <c r="D73" i="5"/>
  <c r="E72" i="5"/>
  <c r="C71" i="5"/>
  <c r="C73" i="5" s="1"/>
  <c r="C79" i="5" s="1"/>
  <c r="E64" i="5"/>
  <c r="E63" i="5"/>
  <c r="E62" i="5"/>
  <c r="E61" i="5"/>
  <c r="D60" i="5"/>
  <c r="D65" i="5" s="1"/>
  <c r="C60" i="5"/>
  <c r="C65" i="5" s="1"/>
  <c r="E54" i="5"/>
  <c r="E53" i="5"/>
  <c r="E52" i="5"/>
  <c r="E51" i="5"/>
  <c r="D50" i="5"/>
  <c r="C50" i="5"/>
  <c r="E44" i="5"/>
  <c r="E38" i="5"/>
  <c r="E26" i="5"/>
  <c r="E19" i="5"/>
  <c r="D12" i="5"/>
  <c r="C12" i="5"/>
  <c r="C11" i="5"/>
  <c r="D8" i="5"/>
  <c r="C8" i="5"/>
  <c r="D7" i="5"/>
  <c r="C7" i="5"/>
  <c r="C6" i="5"/>
  <c r="E6" i="5" s="1"/>
  <c r="E50" i="5" l="1"/>
  <c r="E80" i="5"/>
  <c r="E8" i="5"/>
  <c r="E7" i="5"/>
  <c r="D111" i="5"/>
  <c r="E111" i="5" s="1"/>
  <c r="D82" i="5"/>
  <c r="D4" i="5" s="1"/>
  <c r="E114" i="5"/>
  <c r="E119" i="5"/>
  <c r="E12" i="5"/>
  <c r="E60" i="5"/>
  <c r="E81" i="5"/>
  <c r="E113" i="5"/>
  <c r="E65" i="5"/>
  <c r="E73" i="5"/>
  <c r="C82" i="5"/>
  <c r="E79" i="5"/>
  <c r="D11" i="5"/>
  <c r="E11" i="5" s="1"/>
  <c r="E32" i="5"/>
  <c r="E71" i="5"/>
  <c r="E100" i="5"/>
  <c r="E135" i="5"/>
  <c r="E82" i="5" l="1"/>
  <c r="C4" i="5"/>
  <c r="D118" i="5"/>
  <c r="AA23" i="1"/>
  <c r="X23" i="1"/>
  <c r="U23" i="1"/>
  <c r="R23" i="1"/>
  <c r="O23" i="1"/>
  <c r="L23" i="1"/>
  <c r="I23" i="1"/>
  <c r="F23" i="1"/>
  <c r="AA31" i="1"/>
  <c r="U31" i="1"/>
  <c r="R31" i="1"/>
  <c r="O31" i="1"/>
  <c r="L31" i="1"/>
  <c r="I31" i="1"/>
  <c r="F31" i="1"/>
  <c r="AA28" i="1"/>
  <c r="X28" i="1"/>
  <c r="U28" i="1"/>
  <c r="R28" i="1"/>
  <c r="O28" i="1"/>
  <c r="L28" i="1"/>
  <c r="I28" i="1"/>
  <c r="F28" i="1"/>
  <c r="C118" i="5" l="1"/>
  <c r="C120" i="5" s="1"/>
  <c r="C126" i="5" s="1"/>
  <c r="C5" i="5" s="1"/>
  <c r="C10" i="5" s="1"/>
  <c r="D120" i="5"/>
  <c r="E4" i="5"/>
  <c r="E31" i="1"/>
  <c r="H31" i="1"/>
  <c r="K31" i="1"/>
  <c r="N31" i="1"/>
  <c r="Q31" i="1"/>
  <c r="T31" i="1"/>
  <c r="W31" i="1"/>
  <c r="X31" i="1" s="1"/>
  <c r="E118" i="5" l="1"/>
  <c r="D126" i="5"/>
  <c r="E120" i="5"/>
  <c r="C16" i="5"/>
  <c r="C13" i="5"/>
  <c r="W105" i="3"/>
  <c r="V105" i="3"/>
  <c r="T103" i="3"/>
  <c r="S103" i="3"/>
  <c r="R103" i="3"/>
  <c r="O103" i="3"/>
  <c r="L103" i="3"/>
  <c r="F103" i="3"/>
  <c r="T100" i="3"/>
  <c r="S100" i="3"/>
  <c r="R100" i="3"/>
  <c r="O100" i="3"/>
  <c r="L100" i="3"/>
  <c r="I100" i="3"/>
  <c r="F100" i="3"/>
  <c r="A100" i="3"/>
  <c r="T98" i="3"/>
  <c r="S98" i="3"/>
  <c r="R98" i="3"/>
  <c r="O98" i="3"/>
  <c r="L98" i="3"/>
  <c r="I98" i="3"/>
  <c r="F98" i="3"/>
  <c r="T97" i="3"/>
  <c r="S97" i="3"/>
  <c r="R97" i="3"/>
  <c r="O97" i="3"/>
  <c r="L97" i="3"/>
  <c r="I97" i="3"/>
  <c r="F97" i="3"/>
  <c r="A97" i="3"/>
  <c r="T96" i="3"/>
  <c r="S96" i="3"/>
  <c r="R96" i="3"/>
  <c r="O96" i="3"/>
  <c r="L96" i="3"/>
  <c r="I96" i="3"/>
  <c r="F96" i="3"/>
  <c r="T94" i="3"/>
  <c r="S94" i="3"/>
  <c r="R94" i="3"/>
  <c r="O94" i="3"/>
  <c r="L94" i="3"/>
  <c r="I94" i="3"/>
  <c r="F94" i="3"/>
  <c r="T92" i="3"/>
  <c r="S92" i="3"/>
  <c r="R92" i="3"/>
  <c r="O92" i="3"/>
  <c r="L92" i="3"/>
  <c r="I92" i="3"/>
  <c r="F92" i="3"/>
  <c r="T91" i="3"/>
  <c r="S91" i="3"/>
  <c r="R91" i="3"/>
  <c r="O91" i="3"/>
  <c r="L91" i="3"/>
  <c r="I91" i="3"/>
  <c r="F91" i="3"/>
  <c r="T90" i="3"/>
  <c r="S90" i="3"/>
  <c r="R90" i="3"/>
  <c r="O90" i="3"/>
  <c r="L90" i="3"/>
  <c r="I90" i="3"/>
  <c r="F90" i="3"/>
  <c r="T89" i="3"/>
  <c r="S89" i="3"/>
  <c r="R89" i="3"/>
  <c r="O89" i="3"/>
  <c r="L89" i="3"/>
  <c r="I89" i="3"/>
  <c r="F89" i="3"/>
  <c r="T88" i="3"/>
  <c r="S88" i="3"/>
  <c r="R88" i="3"/>
  <c r="O88" i="3"/>
  <c r="L88" i="3"/>
  <c r="I88" i="3"/>
  <c r="F88" i="3"/>
  <c r="T87" i="3"/>
  <c r="S87" i="3"/>
  <c r="R87" i="3"/>
  <c r="O87" i="3"/>
  <c r="L87" i="3"/>
  <c r="I87" i="3"/>
  <c r="F87" i="3"/>
  <c r="Q75" i="3"/>
  <c r="Q69" i="3" s="1"/>
  <c r="P75" i="3"/>
  <c r="N75" i="3"/>
  <c r="M75" i="3"/>
  <c r="K75" i="3"/>
  <c r="J75" i="3"/>
  <c r="H75" i="3"/>
  <c r="G75" i="3"/>
  <c r="E75" i="3"/>
  <c r="D75" i="3"/>
  <c r="M70" i="3"/>
  <c r="M35" i="3" s="1"/>
  <c r="H70" i="3"/>
  <c r="E70" i="3"/>
  <c r="E35" i="3" s="1"/>
  <c r="P69" i="3"/>
  <c r="N69" i="3"/>
  <c r="M69" i="3"/>
  <c r="J69" i="3"/>
  <c r="I69" i="3"/>
  <c r="F69" i="3"/>
  <c r="O68" i="3"/>
  <c r="L68" i="3"/>
  <c r="S67" i="3"/>
  <c r="R67" i="3"/>
  <c r="K67" i="3"/>
  <c r="I67" i="3"/>
  <c r="F67" i="3"/>
  <c r="F66" i="3"/>
  <c r="K65" i="3"/>
  <c r="H65" i="3"/>
  <c r="E65" i="3"/>
  <c r="D65" i="3"/>
  <c r="G66" i="3" s="1"/>
  <c r="P64" i="3"/>
  <c r="J64" i="3"/>
  <c r="G64" i="3"/>
  <c r="D64" i="3"/>
  <c r="N62" i="3"/>
  <c r="F63" i="3"/>
  <c r="K62" i="3"/>
  <c r="H62" i="3"/>
  <c r="E62" i="3"/>
  <c r="S61" i="3"/>
  <c r="Q70" i="3"/>
  <c r="L61" i="3"/>
  <c r="I61" i="3"/>
  <c r="F61" i="3"/>
  <c r="F60" i="3"/>
  <c r="K59" i="3"/>
  <c r="H59" i="3"/>
  <c r="E59" i="3"/>
  <c r="D59" i="3"/>
  <c r="G60" i="3" s="1"/>
  <c r="G59" i="3" s="1"/>
  <c r="J60" i="3" s="1"/>
  <c r="Q48" i="3"/>
  <c r="N48" i="3"/>
  <c r="K48" i="3"/>
  <c r="H48" i="3"/>
  <c r="E48" i="3"/>
  <c r="Q47" i="3"/>
  <c r="N47" i="3"/>
  <c r="K47" i="3"/>
  <c r="H47" i="3"/>
  <c r="E47" i="3"/>
  <c r="R43" i="3"/>
  <c r="R41" i="3" s="1"/>
  <c r="N43" i="3"/>
  <c r="O43" i="3" s="1"/>
  <c r="O41" i="3" s="1"/>
  <c r="K43" i="3"/>
  <c r="K41" i="3" s="1"/>
  <c r="H43" i="3"/>
  <c r="I43" i="3" s="1"/>
  <c r="I41" i="3" s="1"/>
  <c r="E43" i="3"/>
  <c r="F43" i="3" s="1"/>
  <c r="F41" i="3" s="1"/>
  <c r="P41" i="3"/>
  <c r="J41" i="3"/>
  <c r="D41" i="3"/>
  <c r="Q41" i="3"/>
  <c r="M41" i="3"/>
  <c r="G41" i="3"/>
  <c r="P39" i="3"/>
  <c r="M39" i="3"/>
  <c r="J39" i="3"/>
  <c r="G39" i="3"/>
  <c r="D39" i="3"/>
  <c r="Q38" i="3"/>
  <c r="R38" i="3" s="1"/>
  <c r="N38" i="3"/>
  <c r="O38" i="3" s="1"/>
  <c r="L38" i="3"/>
  <c r="I38" i="3"/>
  <c r="F38" i="3"/>
  <c r="R37" i="3"/>
  <c r="I37" i="3"/>
  <c r="Q31" i="3"/>
  <c r="R31" i="3" s="1"/>
  <c r="N31" i="3"/>
  <c r="O31" i="3" s="1"/>
  <c r="L31" i="3"/>
  <c r="I31" i="3"/>
  <c r="F31" i="3"/>
  <c r="T26" i="3"/>
  <c r="P26" i="3"/>
  <c r="R26" i="3" s="1"/>
  <c r="M26" i="3"/>
  <c r="O26" i="3" s="1"/>
  <c r="J26" i="3"/>
  <c r="L26" i="3" s="1"/>
  <c r="G26" i="3"/>
  <c r="I26" i="3" s="1"/>
  <c r="D26" i="3"/>
  <c r="T25" i="3"/>
  <c r="P25" i="3"/>
  <c r="R25" i="3" s="1"/>
  <c r="M25" i="3"/>
  <c r="O25" i="3" s="1"/>
  <c r="J25" i="3"/>
  <c r="L25" i="3" s="1"/>
  <c r="G25" i="3"/>
  <c r="I25" i="3" s="1"/>
  <c r="D25" i="3"/>
  <c r="F25" i="3" s="1"/>
  <c r="T24" i="3"/>
  <c r="P24" i="3"/>
  <c r="R24" i="3" s="1"/>
  <c r="M24" i="3"/>
  <c r="O24" i="3" s="1"/>
  <c r="J24" i="3"/>
  <c r="L24" i="3" s="1"/>
  <c r="G24" i="3"/>
  <c r="I24" i="3" s="1"/>
  <c r="D24" i="3"/>
  <c r="F24" i="3" s="1"/>
  <c r="Q23" i="3"/>
  <c r="Q6" i="3" s="1"/>
  <c r="N23" i="3"/>
  <c r="N6" i="3" s="1"/>
  <c r="K23" i="3"/>
  <c r="K6" i="3" s="1"/>
  <c r="H23" i="3"/>
  <c r="H6" i="3" s="1"/>
  <c r="E23" i="3"/>
  <c r="L19" i="3"/>
  <c r="I19" i="3"/>
  <c r="V15" i="3"/>
  <c r="Q14" i="3"/>
  <c r="Q16" i="3" s="1"/>
  <c r="P14" i="3"/>
  <c r="P16" i="3" s="1"/>
  <c r="M14" i="3"/>
  <c r="M16" i="3" s="1"/>
  <c r="K14" i="3"/>
  <c r="J14" i="3"/>
  <c r="J16" i="3" s="1"/>
  <c r="H14" i="3"/>
  <c r="H16" i="3" s="1"/>
  <c r="G14" i="3"/>
  <c r="D14" i="3"/>
  <c r="D16" i="3" s="1"/>
  <c r="V13" i="3"/>
  <c r="T11" i="3"/>
  <c r="S11" i="3"/>
  <c r="R11" i="3"/>
  <c r="O11" i="3"/>
  <c r="L11" i="3"/>
  <c r="I11" i="3"/>
  <c r="F11" i="3"/>
  <c r="T10" i="3"/>
  <c r="S10" i="3"/>
  <c r="R10" i="3"/>
  <c r="O10" i="3"/>
  <c r="L10" i="3"/>
  <c r="I10" i="3"/>
  <c r="F10" i="3"/>
  <c r="T9" i="3"/>
  <c r="S9" i="3"/>
  <c r="R9" i="3"/>
  <c r="O9" i="3"/>
  <c r="L9" i="3"/>
  <c r="I9" i="3"/>
  <c r="F9" i="3"/>
  <c r="P8" i="3"/>
  <c r="R8" i="3" s="1"/>
  <c r="M8" i="3"/>
  <c r="K8" i="3"/>
  <c r="J8" i="3"/>
  <c r="H8" i="3"/>
  <c r="G8" i="3"/>
  <c r="E8" i="3"/>
  <c r="D8" i="3"/>
  <c r="E6" i="3"/>
  <c r="W4" i="3"/>
  <c r="W13" i="3" s="1"/>
  <c r="E126" i="5" l="1"/>
  <c r="D5" i="5"/>
  <c r="D16" i="5"/>
  <c r="C17" i="5"/>
  <c r="C18" i="5" s="1"/>
  <c r="C20" i="5" s="1"/>
  <c r="E14" i="3"/>
  <c r="E16" i="3" s="1"/>
  <c r="S26" i="3"/>
  <c r="L64" i="3"/>
  <c r="D70" i="3"/>
  <c r="D35" i="3" s="1"/>
  <c r="P70" i="3"/>
  <c r="P35" i="3" s="1"/>
  <c r="L67" i="3"/>
  <c r="L69" i="3"/>
  <c r="O67" i="3"/>
  <c r="N14" i="3"/>
  <c r="N16" i="3" s="1"/>
  <c r="O16" i="3" s="1"/>
  <c r="N70" i="3"/>
  <c r="N35" i="3" s="1"/>
  <c r="O35" i="3" s="1"/>
  <c r="E41" i="3"/>
  <c r="L8" i="3"/>
  <c r="R70" i="3"/>
  <c r="Q35" i="3"/>
  <c r="N65" i="3"/>
  <c r="Q65" i="3" s="1"/>
  <c r="T65" i="3" s="1"/>
  <c r="H71" i="3"/>
  <c r="H95" i="3" s="1"/>
  <c r="H35" i="3"/>
  <c r="I8" i="3"/>
  <c r="N8" i="3"/>
  <c r="T8" i="3" s="1"/>
  <c r="F26" i="3"/>
  <c r="U26" i="3" s="1"/>
  <c r="H39" i="3"/>
  <c r="I39" i="3" s="1"/>
  <c r="O69" i="3"/>
  <c r="U89" i="3"/>
  <c r="V89" i="3" s="1"/>
  <c r="U97" i="3"/>
  <c r="W97" i="3" s="1"/>
  <c r="U100" i="3"/>
  <c r="S14" i="3"/>
  <c r="O8" i="3"/>
  <c r="G23" i="3"/>
  <c r="N41" i="3"/>
  <c r="U92" i="3"/>
  <c r="W92" i="3" s="1"/>
  <c r="L14" i="3"/>
  <c r="R16" i="3"/>
  <c r="H41" i="3"/>
  <c r="M23" i="3"/>
  <c r="M6" i="3" s="1"/>
  <c r="O6" i="3" s="1"/>
  <c r="F8" i="3"/>
  <c r="U10" i="3"/>
  <c r="W10" i="3" s="1"/>
  <c r="I14" i="3"/>
  <c r="G16" i="3"/>
  <c r="S16" i="3" s="1"/>
  <c r="F35" i="3"/>
  <c r="U87" i="3"/>
  <c r="W87" i="3" s="1"/>
  <c r="U88" i="3"/>
  <c r="W88" i="3" s="1"/>
  <c r="U91" i="3"/>
  <c r="W91" i="3" s="1"/>
  <c r="U103" i="3"/>
  <c r="U11" i="3"/>
  <c r="V11" i="3" s="1"/>
  <c r="K16" i="3"/>
  <c r="L16" i="3" s="1"/>
  <c r="U98" i="3"/>
  <c r="V98" i="3" s="1"/>
  <c r="U25" i="3"/>
  <c r="U94" i="3"/>
  <c r="W94" i="3" s="1"/>
  <c r="S8" i="3"/>
  <c r="U9" i="3"/>
  <c r="W9" i="3" s="1"/>
  <c r="Q39" i="3"/>
  <c r="R39" i="3" s="1"/>
  <c r="D62" i="3"/>
  <c r="G63" i="3" s="1"/>
  <c r="U96" i="3"/>
  <c r="V96" i="3" s="1"/>
  <c r="R69" i="3"/>
  <c r="T69" i="3"/>
  <c r="V10" i="3"/>
  <c r="F16" i="3"/>
  <c r="U24" i="3"/>
  <c r="O14" i="3"/>
  <c r="S24" i="3"/>
  <c r="S25" i="3"/>
  <c r="T6" i="3"/>
  <c r="T14" i="3"/>
  <c r="J23" i="3"/>
  <c r="J6" i="3" s="1"/>
  <c r="L6" i="3" s="1"/>
  <c r="Q62" i="3"/>
  <c r="T62" i="3" s="1"/>
  <c r="W15" i="3"/>
  <c r="F14" i="3"/>
  <c r="R14" i="3"/>
  <c r="D23" i="3"/>
  <c r="D6" i="3" s="1"/>
  <c r="P23" i="3"/>
  <c r="P6" i="3" s="1"/>
  <c r="L60" i="3"/>
  <c r="J59" i="3"/>
  <c r="M60" i="3" s="1"/>
  <c r="F59" i="3"/>
  <c r="N59" i="3"/>
  <c r="R61" i="3"/>
  <c r="T63" i="3"/>
  <c r="G65" i="3"/>
  <c r="J66" i="3" s="1"/>
  <c r="I66" i="3"/>
  <c r="W89" i="3"/>
  <c r="L43" i="3"/>
  <c r="I60" i="3"/>
  <c r="N71" i="3"/>
  <c r="N34" i="3" s="1"/>
  <c r="O61" i="3"/>
  <c r="T61" i="3"/>
  <c r="D71" i="3"/>
  <c r="D34" i="3" s="1"/>
  <c r="D28" i="3" s="1"/>
  <c r="T66" i="3"/>
  <c r="L37" i="3"/>
  <c r="I59" i="3"/>
  <c r="G70" i="3"/>
  <c r="I64" i="3"/>
  <c r="U67" i="3"/>
  <c r="V87" i="3"/>
  <c r="R64" i="3"/>
  <c r="S69" i="3"/>
  <c r="O64" i="3"/>
  <c r="S64" i="3"/>
  <c r="T67" i="3"/>
  <c r="F70" i="3"/>
  <c r="J70" i="3"/>
  <c r="J35" i="3" s="1"/>
  <c r="T64" i="3"/>
  <c r="F65" i="3"/>
  <c r="K70" i="3"/>
  <c r="K35" i="3" s="1"/>
  <c r="E71" i="3"/>
  <c r="E34" i="3" s="1"/>
  <c r="F64" i="3"/>
  <c r="U90" i="3"/>
  <c r="D17" i="5" l="1"/>
  <c r="E17" i="5" s="1"/>
  <c r="E16" i="5"/>
  <c r="E5" i="5"/>
  <c r="D10" i="5"/>
  <c r="V92" i="3"/>
  <c r="U69" i="3"/>
  <c r="W96" i="3"/>
  <c r="O70" i="3"/>
  <c r="L35" i="3"/>
  <c r="V91" i="3"/>
  <c r="V97" i="3"/>
  <c r="W11" i="3"/>
  <c r="V88" i="3"/>
  <c r="I70" i="3"/>
  <c r="G35" i="3"/>
  <c r="I35" i="3" s="1"/>
  <c r="V94" i="3"/>
  <c r="H7" i="3"/>
  <c r="H12" i="3" s="1"/>
  <c r="H18" i="3" s="1"/>
  <c r="H34" i="3"/>
  <c r="J19" i="3"/>
  <c r="K19" i="3" s="1"/>
  <c r="U8" i="3"/>
  <c r="F62" i="3"/>
  <c r="V9" i="3"/>
  <c r="O23" i="3"/>
  <c r="I23" i="3"/>
  <c r="G6" i="3"/>
  <c r="I6" i="3" s="1"/>
  <c r="R35" i="3"/>
  <c r="T16" i="3"/>
  <c r="I16" i="3"/>
  <c r="U16" i="3" s="1"/>
  <c r="I65" i="3"/>
  <c r="I63" i="3"/>
  <c r="G62" i="3"/>
  <c r="R23" i="3"/>
  <c r="U64" i="3"/>
  <c r="U61" i="3"/>
  <c r="U14" i="3"/>
  <c r="V14" i="3" s="1"/>
  <c r="F37" i="3"/>
  <c r="E39" i="3"/>
  <c r="F39" i="3" s="1"/>
  <c r="W90" i="3"/>
  <c r="V90" i="3"/>
  <c r="V93" i="3" s="1"/>
  <c r="G71" i="3"/>
  <c r="G34" i="3" s="1"/>
  <c r="G28" i="3" s="1"/>
  <c r="G7" i="3" s="1"/>
  <c r="L66" i="3"/>
  <c r="J65" i="3"/>
  <c r="L41" i="3"/>
  <c r="K39" i="3"/>
  <c r="L39" i="3" s="1"/>
  <c r="L59" i="3"/>
  <c r="F71" i="3"/>
  <c r="E95" i="3"/>
  <c r="O60" i="3"/>
  <c r="M59" i="3"/>
  <c r="O59" i="3" s="1"/>
  <c r="F34" i="3"/>
  <c r="L70" i="3"/>
  <c r="K71" i="3"/>
  <c r="K34" i="3" s="1"/>
  <c r="D95" i="3"/>
  <c r="N39" i="3"/>
  <c r="O39" i="3" s="1"/>
  <c r="O37" i="3"/>
  <c r="T70" i="3"/>
  <c r="R6" i="3"/>
  <c r="D7" i="3"/>
  <c r="D12" i="3" s="1"/>
  <c r="F23" i="3"/>
  <c r="L23" i="3"/>
  <c r="S70" i="3"/>
  <c r="N95" i="3"/>
  <c r="P19" i="3"/>
  <c r="Q19" i="3" s="1"/>
  <c r="S6" i="3"/>
  <c r="F6" i="3"/>
  <c r="D13" i="5" l="1"/>
  <c r="E13" i="5" s="1"/>
  <c r="D18" i="5"/>
  <c r="E10" i="5"/>
  <c r="V99" i="3"/>
  <c r="U6" i="3"/>
  <c r="W6" i="3" s="1"/>
  <c r="G12" i="3"/>
  <c r="G18" i="3" s="1"/>
  <c r="I7" i="3"/>
  <c r="U70" i="3"/>
  <c r="W14" i="3"/>
  <c r="V8" i="3"/>
  <c r="W8" i="3"/>
  <c r="J63" i="3"/>
  <c r="I62" i="3"/>
  <c r="E28" i="3"/>
  <c r="E7" i="3"/>
  <c r="E12" i="3" s="1"/>
  <c r="D18" i="3"/>
  <c r="V6" i="3"/>
  <c r="K95" i="3"/>
  <c r="K7" i="3"/>
  <c r="M19" i="3"/>
  <c r="N19" i="3" s="1"/>
  <c r="Q71" i="3"/>
  <c r="Q59" i="3"/>
  <c r="T60" i="3"/>
  <c r="F28" i="3"/>
  <c r="P60" i="3"/>
  <c r="R60" i="3" s="1"/>
  <c r="U60" i="3" s="1"/>
  <c r="W16" i="3"/>
  <c r="V16" i="3"/>
  <c r="G95" i="3"/>
  <c r="I95" i="3" s="1"/>
  <c r="I71" i="3"/>
  <c r="N28" i="3"/>
  <c r="N7" i="3"/>
  <c r="F95" i="3"/>
  <c r="I12" i="3"/>
  <c r="M66" i="3"/>
  <c r="L65" i="3"/>
  <c r="D20" i="5" l="1"/>
  <c r="E18" i="5"/>
  <c r="E20" i="5" s="1"/>
  <c r="F7" i="3"/>
  <c r="T71" i="3"/>
  <c r="Q34" i="3"/>
  <c r="Q28" i="3" s="1"/>
  <c r="L63" i="3"/>
  <c r="J62" i="3"/>
  <c r="J71" i="3"/>
  <c r="J34" i="3" s="1"/>
  <c r="J28" i="3" s="1"/>
  <c r="J7" i="3" s="1"/>
  <c r="J12" i="3" s="1"/>
  <c r="J18" i="3" s="1"/>
  <c r="J93" i="3" s="1"/>
  <c r="K93" i="3" s="1"/>
  <c r="Q95" i="3"/>
  <c r="Q7" i="3"/>
  <c r="T7" i="3" s="1"/>
  <c r="P59" i="3"/>
  <c r="S59" i="3" s="1"/>
  <c r="S60" i="3"/>
  <c r="E18" i="3"/>
  <c r="F12" i="3"/>
  <c r="K12" i="3"/>
  <c r="M65" i="3"/>
  <c r="O66" i="3"/>
  <c r="G93" i="3"/>
  <c r="I18" i="3"/>
  <c r="I83" i="3" s="1"/>
  <c r="T59" i="3"/>
  <c r="I34" i="3"/>
  <c r="H28" i="3"/>
  <c r="D93" i="3"/>
  <c r="N12" i="3"/>
  <c r="R59" i="3" l="1"/>
  <c r="U59" i="3" s="1"/>
  <c r="L7" i="3"/>
  <c r="J95" i="3"/>
  <c r="L71" i="3"/>
  <c r="M63" i="3"/>
  <c r="L62" i="3"/>
  <c r="L93" i="3"/>
  <c r="K99" i="3"/>
  <c r="K101" i="3" s="1"/>
  <c r="Q12" i="3"/>
  <c r="E93" i="3"/>
  <c r="D99" i="3"/>
  <c r="N18" i="3"/>
  <c r="I28" i="3"/>
  <c r="H93" i="3"/>
  <c r="G99" i="3"/>
  <c r="G101" i="3" s="1"/>
  <c r="P66" i="3"/>
  <c r="O65" i="3"/>
  <c r="L12" i="3"/>
  <c r="K18" i="3"/>
  <c r="L18" i="3" s="1"/>
  <c r="L83" i="3" s="1"/>
  <c r="F18" i="3"/>
  <c r="T95" i="3"/>
  <c r="L95" i="3" l="1"/>
  <c r="J99" i="3"/>
  <c r="J101" i="3" s="1"/>
  <c r="L101" i="3" s="1"/>
  <c r="L105" i="3" s="1"/>
  <c r="L112" i="3" s="1"/>
  <c r="O63" i="3"/>
  <c r="M62" i="3"/>
  <c r="M71" i="3"/>
  <c r="M34" i="3" s="1"/>
  <c r="I93" i="3"/>
  <c r="I99" i="3" s="1"/>
  <c r="H99" i="3"/>
  <c r="H101" i="3" s="1"/>
  <c r="I101" i="3" s="1"/>
  <c r="I105" i="3" s="1"/>
  <c r="I112" i="3" s="1"/>
  <c r="P65" i="3"/>
  <c r="R66" i="3"/>
  <c r="U66" i="3" s="1"/>
  <c r="S66" i="3"/>
  <c r="Q18" i="3"/>
  <c r="F83" i="3"/>
  <c r="M28" i="3"/>
  <c r="O34" i="3"/>
  <c r="L34" i="3"/>
  <c r="K28" i="3"/>
  <c r="D101" i="3"/>
  <c r="T12" i="3"/>
  <c r="E99" i="3"/>
  <c r="F93" i="3"/>
  <c r="M95" i="3" l="1"/>
  <c r="O95" i="3" s="1"/>
  <c r="O71" i="3"/>
  <c r="P63" i="3"/>
  <c r="O62" i="3"/>
  <c r="M7" i="3"/>
  <c r="O28" i="3"/>
  <c r="R65" i="3"/>
  <c r="U65" i="3" s="1"/>
  <c r="S65" i="3"/>
  <c r="E101" i="3"/>
  <c r="L28" i="3"/>
  <c r="T28" i="3"/>
  <c r="T18" i="3"/>
  <c r="F99" i="3"/>
  <c r="F102" i="3"/>
  <c r="F84" i="3"/>
  <c r="F85" i="3" s="1"/>
  <c r="I82" i="3" s="1"/>
  <c r="P62" i="3" l="1"/>
  <c r="R63" i="3"/>
  <c r="U63" i="3" s="1"/>
  <c r="P71" i="3"/>
  <c r="P34" i="3" s="1"/>
  <c r="P28" i="3" s="1"/>
  <c r="S63" i="3"/>
  <c r="F101" i="3"/>
  <c r="M12" i="3"/>
  <c r="O7" i="3"/>
  <c r="I84" i="3"/>
  <c r="I85" i="3" s="1"/>
  <c r="L82" i="3" s="1"/>
  <c r="R34" i="3" l="1"/>
  <c r="R62" i="3"/>
  <c r="U62" i="3" s="1"/>
  <c r="S62" i="3"/>
  <c r="P95" i="3"/>
  <c r="R71" i="3"/>
  <c r="U71" i="3" s="1"/>
  <c r="S71" i="3"/>
  <c r="L84" i="3"/>
  <c r="M18" i="3"/>
  <c r="O12" i="3"/>
  <c r="P7" i="3"/>
  <c r="R28" i="3"/>
  <c r="U28" i="3" s="1"/>
  <c r="S28" i="3"/>
  <c r="F105" i="3"/>
  <c r="R95" i="3" l="1"/>
  <c r="U95" i="3" s="1"/>
  <c r="S95" i="3"/>
  <c r="P12" i="3"/>
  <c r="R7" i="3"/>
  <c r="U7" i="3" s="1"/>
  <c r="S7" i="3"/>
  <c r="M93" i="3"/>
  <c r="O18" i="3"/>
  <c r="F112" i="3"/>
  <c r="L85" i="3"/>
  <c r="O82" i="3" s="1"/>
  <c r="W95" i="3" l="1"/>
  <c r="V95" i="3"/>
  <c r="F113" i="3"/>
  <c r="M99" i="3"/>
  <c r="N93" i="3"/>
  <c r="O83" i="3"/>
  <c r="V7" i="3"/>
  <c r="W7" i="3"/>
  <c r="P18" i="3"/>
  <c r="R12" i="3"/>
  <c r="U12" i="3" s="1"/>
  <c r="S12" i="3"/>
  <c r="N99" i="3" l="1"/>
  <c r="O93" i="3"/>
  <c r="M101" i="3"/>
  <c r="W12" i="3"/>
  <c r="V12" i="3"/>
  <c r="O84" i="3"/>
  <c r="F114" i="3"/>
  <c r="I111" i="3" s="1"/>
  <c r="P93" i="3"/>
  <c r="R18" i="3"/>
  <c r="S18" i="3"/>
  <c r="Q93" i="3" l="1"/>
  <c r="P99" i="3"/>
  <c r="S93" i="3"/>
  <c r="I113" i="3"/>
  <c r="R83" i="3"/>
  <c r="U83" i="3" s="1"/>
  <c r="U18" i="3"/>
  <c r="O85" i="3"/>
  <c r="R82" i="3" s="1"/>
  <c r="N101" i="3"/>
  <c r="O99" i="3"/>
  <c r="O101" i="3" l="1"/>
  <c r="R84" i="3"/>
  <c r="U84" i="3" s="1"/>
  <c r="P101" i="3"/>
  <c r="S101" i="3" s="1"/>
  <c r="S99" i="3"/>
  <c r="V18" i="3"/>
  <c r="W18" i="3"/>
  <c r="I114" i="3"/>
  <c r="L111" i="3" s="1"/>
  <c r="Q99" i="3"/>
  <c r="R93" i="3"/>
  <c r="U93" i="3" s="1"/>
  <c r="W93" i="3" s="1"/>
  <c r="W99" i="3" s="1"/>
  <c r="T93" i="3"/>
  <c r="Q101" i="3" l="1"/>
  <c r="R99" i="3"/>
  <c r="U99" i="3" s="1"/>
  <c r="T99" i="3"/>
  <c r="L113" i="3"/>
  <c r="O105" i="3"/>
  <c r="R85" i="3"/>
  <c r="R101" i="3" l="1"/>
  <c r="T101" i="3"/>
  <c r="L114" i="3"/>
  <c r="O111" i="3" s="1"/>
  <c r="O112" i="3"/>
  <c r="O113" i="3" l="1"/>
  <c r="R105" i="3"/>
  <c r="U101" i="3"/>
  <c r="R112" i="3" l="1"/>
  <c r="U112" i="3" s="1"/>
  <c r="U105" i="3"/>
  <c r="O114" i="3"/>
  <c r="R111" i="3" s="1"/>
  <c r="R113" i="3" l="1"/>
  <c r="U113" i="3" s="1"/>
  <c r="R114" i="3" l="1"/>
  <c r="Z68" i="1" l="1"/>
  <c r="W68" i="1"/>
  <c r="T68" i="1"/>
  <c r="Q68" i="1"/>
  <c r="N68" i="1"/>
  <c r="K68" i="1"/>
  <c r="J66" i="1"/>
  <c r="H68" i="1"/>
  <c r="E68" i="1"/>
  <c r="D66" i="1"/>
  <c r="E67" i="1"/>
  <c r="Y66" i="1"/>
  <c r="V66" i="1"/>
  <c r="S66" i="1"/>
  <c r="P66" i="1"/>
  <c r="M66" i="1"/>
  <c r="G66" i="1"/>
  <c r="Z65" i="1"/>
  <c r="Y63" i="1"/>
  <c r="S63" i="1"/>
  <c r="M63" i="1"/>
  <c r="E64" i="1"/>
  <c r="V63" i="1"/>
  <c r="P63" i="1"/>
  <c r="J63" i="1"/>
  <c r="G63" i="1"/>
  <c r="D63" i="1"/>
  <c r="W62" i="1"/>
  <c r="V70" i="1"/>
  <c r="V35" i="1" s="1"/>
  <c r="T62" i="1"/>
  <c r="P70" i="1"/>
  <c r="P35" i="1" s="1"/>
  <c r="K62" i="1"/>
  <c r="J70" i="1"/>
  <c r="J35" i="1" s="1"/>
  <c r="H62" i="1"/>
  <c r="E62" i="1"/>
  <c r="D70" i="1"/>
  <c r="D35" i="1" s="1"/>
  <c r="E61" i="1"/>
  <c r="Y60" i="1"/>
  <c r="V60" i="1"/>
  <c r="S60" i="1"/>
  <c r="P60" i="1"/>
  <c r="M60" i="1"/>
  <c r="J60" i="1"/>
  <c r="G60" i="1"/>
  <c r="D60" i="1"/>
  <c r="X44" i="1"/>
  <c r="X42" i="1" s="1"/>
  <c r="X14" i="1" s="1"/>
  <c r="U44" i="1"/>
  <c r="U42" i="1" s="1"/>
  <c r="U14" i="1" s="1"/>
  <c r="R44" i="1"/>
  <c r="R42" i="1" s="1"/>
  <c r="R14" i="1" s="1"/>
  <c r="O44" i="1"/>
  <c r="L44" i="1"/>
  <c r="L42" i="1" s="1"/>
  <c r="L14" i="1" s="1"/>
  <c r="AA42" i="1"/>
  <c r="AA14" i="1" s="1"/>
  <c r="Z42" i="1"/>
  <c r="Y42" i="1"/>
  <c r="W42" i="1"/>
  <c r="V42" i="1"/>
  <c r="T42" i="1"/>
  <c r="S42" i="1"/>
  <c r="Q42" i="1"/>
  <c r="P42" i="1"/>
  <c r="O42" i="1"/>
  <c r="N42" i="1"/>
  <c r="M42" i="1"/>
  <c r="K42" i="1"/>
  <c r="J42" i="1"/>
  <c r="I42" i="1"/>
  <c r="H42" i="1"/>
  <c r="G42" i="1"/>
  <c r="F42" i="1"/>
  <c r="E42" i="1"/>
  <c r="D42" i="1"/>
  <c r="W39" i="1"/>
  <c r="V39" i="1"/>
  <c r="T39" i="1"/>
  <c r="S39" i="1"/>
  <c r="Q39" i="1"/>
  <c r="P39" i="1"/>
  <c r="N39" i="1"/>
  <c r="M39" i="1"/>
  <c r="M28" i="1" s="1"/>
  <c r="K39" i="1"/>
  <c r="J39" i="1"/>
  <c r="H39" i="1"/>
  <c r="G39" i="1"/>
  <c r="E39" i="1"/>
  <c r="D39" i="1"/>
  <c r="X38" i="1"/>
  <c r="U38" i="1"/>
  <c r="R38" i="1"/>
  <c r="O38" i="1"/>
  <c r="L38" i="1"/>
  <c r="I38" i="1"/>
  <c r="F38" i="1"/>
  <c r="X37" i="1"/>
  <c r="U37" i="1"/>
  <c r="R37" i="1"/>
  <c r="O37" i="1"/>
  <c r="L37" i="1"/>
  <c r="I37" i="1"/>
  <c r="F37" i="1"/>
  <c r="W65" i="1"/>
  <c r="T65" i="1"/>
  <c r="Q65" i="1"/>
  <c r="N65" i="1"/>
  <c r="N70" i="1" s="1"/>
  <c r="N35" i="1" s="1"/>
  <c r="K65" i="1"/>
  <c r="H65" i="1"/>
  <c r="E65" i="1"/>
  <c r="W26" i="1"/>
  <c r="X26" i="1" s="1"/>
  <c r="T26" i="1"/>
  <c r="U26" i="1" s="1"/>
  <c r="Q26" i="1"/>
  <c r="R26" i="1" s="1"/>
  <c r="N26" i="1"/>
  <c r="O26" i="1" s="1"/>
  <c r="K26" i="1"/>
  <c r="L26" i="1" s="1"/>
  <c r="W25" i="1"/>
  <c r="X25" i="1" s="1"/>
  <c r="T25" i="1"/>
  <c r="U25" i="1" s="1"/>
  <c r="Q25" i="1"/>
  <c r="R25" i="1" s="1"/>
  <c r="N25" i="1"/>
  <c r="O25" i="1" s="1"/>
  <c r="K25" i="1"/>
  <c r="L25" i="1" s="1"/>
  <c r="H25" i="1"/>
  <c r="E25" i="1"/>
  <c r="E23" i="1" s="1"/>
  <c r="W24" i="1"/>
  <c r="X24" i="1" s="1"/>
  <c r="V24" i="1"/>
  <c r="T24" i="1"/>
  <c r="S24" i="1"/>
  <c r="Q24" i="1"/>
  <c r="Q23" i="1" s="1"/>
  <c r="P24" i="1"/>
  <c r="N24" i="1"/>
  <c r="M24" i="1"/>
  <c r="M23" i="1" s="1"/>
  <c r="K24" i="1"/>
  <c r="J24" i="1"/>
  <c r="J23" i="1" s="1"/>
  <c r="H24" i="1"/>
  <c r="V23" i="1"/>
  <c r="P23" i="1"/>
  <c r="AD17" i="1"/>
  <c r="AC17" i="1"/>
  <c r="AB17" i="1"/>
  <c r="Z16" i="1"/>
  <c r="V16" i="1"/>
  <c r="N16" i="1"/>
  <c r="J16" i="1"/>
  <c r="AB15" i="1"/>
  <c r="AA15" i="1"/>
  <c r="AC15" i="1"/>
  <c r="U15" i="1"/>
  <c r="R15" i="1"/>
  <c r="O15" i="1"/>
  <c r="L15" i="1"/>
  <c r="I15" i="1"/>
  <c r="F15" i="1"/>
  <c r="Y16" i="1"/>
  <c r="W16" i="1"/>
  <c r="T16" i="1"/>
  <c r="S16" i="1"/>
  <c r="Q16" i="1"/>
  <c r="P16" i="1"/>
  <c r="O14" i="1"/>
  <c r="M16" i="1"/>
  <c r="K16" i="1"/>
  <c r="I14" i="1"/>
  <c r="H16" i="1"/>
  <c r="G16" i="1"/>
  <c r="F14" i="1"/>
  <c r="E16" i="1"/>
  <c r="D16" i="1"/>
  <c r="AD13" i="1"/>
  <c r="AC13" i="1"/>
  <c r="AB13" i="1"/>
  <c r="Y12" i="1"/>
  <c r="G12" i="1"/>
  <c r="G18" i="1" s="1"/>
  <c r="D12" i="1"/>
  <c r="AC11" i="1"/>
  <c r="AB11" i="1"/>
  <c r="AA11" i="1"/>
  <c r="X11" i="1"/>
  <c r="U11" i="1"/>
  <c r="R11" i="1"/>
  <c r="O11" i="1"/>
  <c r="L11" i="1"/>
  <c r="I11" i="1"/>
  <c r="F11" i="1"/>
  <c r="AC10" i="1"/>
  <c r="AB10" i="1"/>
  <c r="AA10" i="1"/>
  <c r="X10" i="1"/>
  <c r="U10" i="1"/>
  <c r="R10" i="1"/>
  <c r="O10" i="1"/>
  <c r="L10" i="1"/>
  <c r="I10" i="1"/>
  <c r="F10" i="1"/>
  <c r="AC9" i="1"/>
  <c r="AB9" i="1"/>
  <c r="AA9" i="1"/>
  <c r="X9" i="1"/>
  <c r="U9" i="1"/>
  <c r="R9" i="1"/>
  <c r="O9" i="1"/>
  <c r="L9" i="1"/>
  <c r="I9" i="1"/>
  <c r="F9" i="1"/>
  <c r="AA8" i="1"/>
  <c r="X8" i="1"/>
  <c r="U8" i="1"/>
  <c r="R8" i="1"/>
  <c r="O8" i="1"/>
  <c r="L8" i="1"/>
  <c r="AB8" i="1"/>
  <c r="I8" i="1"/>
  <c r="F8" i="1"/>
  <c r="AA6" i="1"/>
  <c r="R6" i="1"/>
  <c r="O6" i="1"/>
  <c r="M12" i="1"/>
  <c r="J12" i="1"/>
  <c r="AF4" i="1"/>
  <c r="O24" i="1" l="1"/>
  <c r="T23" i="1"/>
  <c r="Y18" i="1"/>
  <c r="F39" i="1"/>
  <c r="L39" i="1"/>
  <c r="R39" i="1"/>
  <c r="X39" i="1"/>
  <c r="P71" i="1"/>
  <c r="M18" i="1"/>
  <c r="L16" i="1"/>
  <c r="J28" i="1"/>
  <c r="AD11" i="1"/>
  <c r="E60" i="1"/>
  <c r="Z70" i="1"/>
  <c r="Z35" i="1" s="1"/>
  <c r="X16" i="1"/>
  <c r="N23" i="1"/>
  <c r="H23" i="1"/>
  <c r="U24" i="1"/>
  <c r="I39" i="1"/>
  <c r="O39" i="1"/>
  <c r="U39" i="1"/>
  <c r="J18" i="1"/>
  <c r="L24" i="1"/>
  <c r="Q70" i="1"/>
  <c r="Q35" i="1" s="1"/>
  <c r="R35" i="1" s="1"/>
  <c r="R16" i="1"/>
  <c r="I16" i="1"/>
  <c r="AD10" i="1"/>
  <c r="AE10" i="1" s="1"/>
  <c r="AD9" i="1"/>
  <c r="AF9" i="1" s="1"/>
  <c r="AD8" i="1"/>
  <c r="I6" i="1"/>
  <c r="AF11" i="1"/>
  <c r="AE11" i="1"/>
  <c r="D18" i="1"/>
  <c r="U16" i="1"/>
  <c r="AA16" i="1"/>
  <c r="AC8" i="1"/>
  <c r="AF13" i="1"/>
  <c r="AE13" i="1"/>
  <c r="F6" i="1"/>
  <c r="AB16" i="1"/>
  <c r="O16" i="1"/>
  <c r="H61" i="1"/>
  <c r="F16" i="1"/>
  <c r="AC16" i="1"/>
  <c r="AC14" i="1"/>
  <c r="AD14" i="1"/>
  <c r="P28" i="1"/>
  <c r="P12" i="1" s="1"/>
  <c r="AB14" i="1"/>
  <c r="X15" i="1"/>
  <c r="AD15" i="1" s="1"/>
  <c r="K23" i="1"/>
  <c r="S23" i="1"/>
  <c r="W23" i="1"/>
  <c r="R24" i="1"/>
  <c r="E70" i="1"/>
  <c r="E35" i="1" s="1"/>
  <c r="F35" i="1" s="1"/>
  <c r="M70" i="1"/>
  <c r="S70" i="1"/>
  <c r="W70" i="1"/>
  <c r="W35" i="1" s="1"/>
  <c r="X35" i="1" s="1"/>
  <c r="T70" i="1"/>
  <c r="T35" i="1" s="1"/>
  <c r="D71" i="1"/>
  <c r="J71" i="1"/>
  <c r="V71" i="1"/>
  <c r="G70" i="1"/>
  <c r="K70" i="1"/>
  <c r="K35" i="1" s="1"/>
  <c r="L35" i="1" s="1"/>
  <c r="Y70" i="1"/>
  <c r="Y35" i="1" s="1"/>
  <c r="E63" i="1"/>
  <c r="E71" i="1"/>
  <c r="E34" i="1" s="1"/>
  <c r="F34" i="1" s="1"/>
  <c r="H70" i="1"/>
  <c r="H35" i="1" s="1"/>
  <c r="E66" i="1"/>
  <c r="H67" i="1" s="1"/>
  <c r="H66" i="1" s="1"/>
  <c r="K67" i="1" s="1"/>
  <c r="K66" i="1" s="1"/>
  <c r="N67" i="1" s="1"/>
  <c r="N66" i="1" s="1"/>
  <c r="Q67" i="1" s="1"/>
  <c r="Q66" i="1" s="1"/>
  <c r="T67" i="1" s="1"/>
  <c r="T66" i="1" s="1"/>
  <c r="W67" i="1" s="1"/>
  <c r="W66" i="1" s="1"/>
  <c r="Z67" i="1" s="1"/>
  <c r="Z66" i="1" s="1"/>
  <c r="S71" i="1" l="1"/>
  <c r="S35" i="1"/>
  <c r="U35" i="1" s="1"/>
  <c r="M71" i="1"/>
  <c r="M35" i="1"/>
  <c r="O35" i="1" s="1"/>
  <c r="Y71" i="1"/>
  <c r="G71" i="1"/>
  <c r="G35" i="1"/>
  <c r="I35" i="1" s="1"/>
  <c r="AD16" i="1"/>
  <c r="AF16" i="1" s="1"/>
  <c r="AF10" i="1"/>
  <c r="AE9" i="1"/>
  <c r="P18" i="1"/>
  <c r="AF15" i="1"/>
  <c r="AE15" i="1"/>
  <c r="H60" i="1"/>
  <c r="K61" i="1" s="1"/>
  <c r="U6" i="1"/>
  <c r="AB6" i="1"/>
  <c r="H64" i="1"/>
  <c r="H63" i="1" s="1"/>
  <c r="K64" i="1" s="1"/>
  <c r="K63" i="1" s="1"/>
  <c r="N64" i="1" s="1"/>
  <c r="N63" i="1" s="1"/>
  <c r="Q64" i="1" s="1"/>
  <c r="Q63" i="1" s="1"/>
  <c r="T64" i="1" s="1"/>
  <c r="T63" i="1" s="1"/>
  <c r="W64" i="1" s="1"/>
  <c r="W63" i="1" s="1"/>
  <c r="Z64" i="1" s="1"/>
  <c r="Z63" i="1" s="1"/>
  <c r="AF8" i="1"/>
  <c r="AE8" i="1"/>
  <c r="AE16" i="1"/>
  <c r="E28" i="1"/>
  <c r="S28" i="1"/>
  <c r="S12" i="1" s="1"/>
  <c r="S18" i="1" s="1"/>
  <c r="AE14" i="1"/>
  <c r="AF14" i="1"/>
  <c r="H71" i="1" l="1"/>
  <c r="H34" i="1" s="1"/>
  <c r="I34" i="1" s="1"/>
  <c r="F7" i="1"/>
  <c r="E12" i="1"/>
  <c r="X6" i="1"/>
  <c r="V28" i="1"/>
  <c r="V12" i="1" s="1"/>
  <c r="V18" i="1" s="1"/>
  <c r="K71" i="1"/>
  <c r="K34" i="1" s="1"/>
  <c r="L34" i="1" s="1"/>
  <c r="L6" i="1"/>
  <c r="AC6" i="1"/>
  <c r="K60" i="1"/>
  <c r="N61" i="1" s="1"/>
  <c r="AD6" i="1" l="1"/>
  <c r="AF6" i="1" s="1"/>
  <c r="AB7" i="1"/>
  <c r="AB12" i="1"/>
  <c r="H28" i="1"/>
  <c r="AE6" i="1"/>
  <c r="E18" i="1"/>
  <c r="F12" i="1"/>
  <c r="N71" i="1"/>
  <c r="N34" i="1" s="1"/>
  <c r="O34" i="1" s="1"/>
  <c r="N60" i="1"/>
  <c r="Q61" i="1" s="1"/>
  <c r="K28" i="1"/>
  <c r="AB18" i="1"/>
  <c r="Q71" i="1" l="1"/>
  <c r="Q34" i="1" s="1"/>
  <c r="R34" i="1" s="1"/>
  <c r="Q60" i="1"/>
  <c r="T61" i="1" s="1"/>
  <c r="F18" i="1"/>
  <c r="I7" i="1"/>
  <c r="H12" i="1"/>
  <c r="N28" i="1"/>
  <c r="H18" i="1" l="1"/>
  <c r="I12" i="1"/>
  <c r="T71" i="1"/>
  <c r="T34" i="1" s="1"/>
  <c r="U34" i="1" s="1"/>
  <c r="T60" i="1"/>
  <c r="W61" i="1" s="1"/>
  <c r="Q28" i="1"/>
  <c r="L7" i="1"/>
  <c r="K12" i="1"/>
  <c r="W71" i="1" l="1"/>
  <c r="W34" i="1" s="1"/>
  <c r="X34" i="1" s="1"/>
  <c r="W60" i="1"/>
  <c r="Z61" i="1" s="1"/>
  <c r="I18" i="1"/>
  <c r="T28" i="1"/>
  <c r="O7" i="1"/>
  <c r="N12" i="1"/>
  <c r="K18" i="1"/>
  <c r="L18" i="1" s="1"/>
  <c r="L12" i="1"/>
  <c r="Q12" i="1" l="1"/>
  <c r="R7" i="1"/>
  <c r="Z71" i="1"/>
  <c r="Z34" i="1" s="1"/>
  <c r="Z60" i="1"/>
  <c r="N18" i="1"/>
  <c r="O12" i="1"/>
  <c r="W28" i="1"/>
  <c r="O18" i="1" l="1"/>
  <c r="Q18" i="1"/>
  <c r="R18" i="1" s="1"/>
  <c r="R12" i="1"/>
  <c r="U7" i="1"/>
  <c r="T12" i="1"/>
  <c r="Z28" i="1"/>
  <c r="T18" i="1" l="1"/>
  <c r="U18" i="1" s="1"/>
  <c r="U12" i="1"/>
  <c r="AA7" i="1"/>
  <c r="Z12" i="1"/>
  <c r="X7" i="1"/>
  <c r="AD7" i="1" s="1"/>
  <c r="W12" i="1"/>
  <c r="AC7" i="1"/>
  <c r="Z18" i="1" l="1"/>
  <c r="AA18" i="1" s="1"/>
  <c r="AA12" i="1"/>
  <c r="W18" i="1"/>
  <c r="X12" i="1"/>
  <c r="AF7" i="1"/>
  <c r="AE7" i="1"/>
  <c r="AC12" i="1"/>
  <c r="AD12" i="1" l="1"/>
  <c r="AD18" i="1" s="1"/>
  <c r="X18" i="1"/>
  <c r="AC18" i="1"/>
  <c r="AF12" i="1" l="1"/>
  <c r="AE12" i="1"/>
  <c r="AE18" i="1"/>
  <c r="AF18" i="1"/>
</calcChain>
</file>

<file path=xl/comments1.xml><?xml version="1.0" encoding="utf-8"?>
<comments xmlns="http://schemas.openxmlformats.org/spreadsheetml/2006/main">
  <authors>
    <author>aarunkumar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aarunkumar: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AAORAC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AAORAC:</t>
        </r>
        <r>
          <rPr>
            <sz val="9"/>
            <color indexed="81"/>
            <rFont val="Tahoma"/>
            <family val="2"/>
          </rPr>
          <t xml:space="preserve">
Depreciation on Consumer contributed assets is shown under NTI</t>
        </r>
      </text>
    </comment>
  </commentList>
</comments>
</file>

<file path=xl/sharedStrings.xml><?xml version="1.0" encoding="utf-8"?>
<sst xmlns="http://schemas.openxmlformats.org/spreadsheetml/2006/main" count="491" uniqueCount="187">
  <si>
    <t>APCPDCL True-up Template</t>
  </si>
  <si>
    <t xml:space="preserve">S. No. </t>
  </si>
  <si>
    <t>Name of the Parameter</t>
  </si>
  <si>
    <t>Units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</si>
  <si>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</si>
  <si>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</si>
  <si>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</si>
  <si>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</si>
  <si>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</si>
  <si>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</si>
  <si>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</si>
  <si>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</si>
  <si>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Consolidated</t>
  </si>
  <si>
    <t>TSSPDCL</t>
  </si>
  <si>
    <t>Ananthapur &amp; Kurnool</t>
  </si>
  <si>
    <t>Approved</t>
  </si>
  <si>
    <t>Actuals</t>
  </si>
  <si>
    <t>Deviation</t>
  </si>
  <si>
    <t>A</t>
  </si>
  <si>
    <t>O &amp; M Expenses</t>
  </si>
  <si>
    <t>Rs. Crs.</t>
  </si>
  <si>
    <t>B</t>
  </si>
  <si>
    <t>Return on Capital Employed</t>
  </si>
  <si>
    <t>C</t>
  </si>
  <si>
    <t>Depreciation during the year</t>
  </si>
  <si>
    <t>D</t>
  </si>
  <si>
    <t>Taxes on Income</t>
  </si>
  <si>
    <t>E</t>
  </si>
  <si>
    <t>Special Appn. for
Safety measures*</t>
  </si>
  <si>
    <t>F</t>
  </si>
  <si>
    <t>Other Expenditure</t>
  </si>
  <si>
    <t>X</t>
  </si>
  <si>
    <t>Gross ARR</t>
  </si>
  <si>
    <t>G</t>
  </si>
  <si>
    <t>Revenue</t>
  </si>
  <si>
    <t>H</t>
  </si>
  <si>
    <t>Non Tariff Income</t>
  </si>
  <si>
    <t>Y</t>
  </si>
  <si>
    <t>Total Revenue</t>
  </si>
  <si>
    <t>Z</t>
  </si>
  <si>
    <t>Total Gap</t>
  </si>
  <si>
    <t>Carrying cost</t>
  </si>
  <si>
    <t>O &amp; M Expenses ( net of expenses capitalised)</t>
  </si>
  <si>
    <t>-Employee Expenses</t>
  </si>
  <si>
    <t>-A&amp;G Expenses</t>
  </si>
  <si>
    <t>-Repairs &amp; Maintainance</t>
  </si>
  <si>
    <t>Regulatory Rate Base</t>
  </si>
  <si>
    <t>-Change in Rate Base</t>
  </si>
  <si>
    <t>-Cost of Debt</t>
  </si>
  <si>
    <t>%</t>
  </si>
  <si>
    <t>-Return on Equity</t>
  </si>
  <si>
    <t>WACC</t>
  </si>
  <si>
    <t>Rs. Crs</t>
  </si>
  <si>
    <t>-Revenue from Retail Supply Business</t>
  </si>
  <si>
    <t>-Revenue from Open Access Consumers</t>
  </si>
  <si>
    <t>Debt Equity Ratio (Normative)</t>
  </si>
  <si>
    <t>Debt</t>
  </si>
  <si>
    <t>Equity</t>
  </si>
  <si>
    <t>Regulated Rate Base</t>
  </si>
  <si>
    <t xml:space="preserve"> Assets</t>
  </si>
  <si>
    <t>OCFA Opening Balance</t>
  </si>
  <si>
    <t xml:space="preserve">Additions to OCFA </t>
  </si>
  <si>
    <t>Depreciation</t>
  </si>
  <si>
    <t>Opening Balance</t>
  </si>
  <si>
    <t>Depreciation during the Year</t>
  </si>
  <si>
    <t xml:space="preserve">Consumer Contributions </t>
  </si>
  <si>
    <t xml:space="preserve"> Cons Contributions Opening Balance</t>
  </si>
  <si>
    <t xml:space="preserve"> Additions to Cons Contributions </t>
  </si>
  <si>
    <t xml:space="preserve"> Working Capital </t>
  </si>
  <si>
    <t xml:space="preserve"> Change in Rate Base  </t>
  </si>
  <si>
    <t xml:space="preserve"> Regulated Rate Base  </t>
  </si>
  <si>
    <t>Carrying cost calculation</t>
  </si>
  <si>
    <t>Opening Gap</t>
  </si>
  <si>
    <t>Addition to Gap</t>
  </si>
  <si>
    <t>Interest on ST loan to bridge the gap</t>
  </si>
  <si>
    <t>Closing Gap</t>
  </si>
  <si>
    <t>Power Purchase Unit</t>
  </si>
  <si>
    <t>MU</t>
  </si>
  <si>
    <t>Power Purchase Cost</t>
  </si>
  <si>
    <t>Rs Cr</t>
  </si>
  <si>
    <t>Transmission Cost</t>
  </si>
  <si>
    <t>SLDC Charges</t>
  </si>
  <si>
    <t>PGCIL Charges</t>
  </si>
  <si>
    <t>ULDC Charges</t>
  </si>
  <si>
    <t>Distribution Cost</t>
  </si>
  <si>
    <t>Interest on CSD</t>
  </si>
  <si>
    <t>Supply Margin</t>
  </si>
  <si>
    <t>Other Expenses</t>
  </si>
  <si>
    <t>Revenue from Sale of Power (Excluding FSA and Non Tariff Income)</t>
  </si>
  <si>
    <t>GAP before Govt. Subsidy</t>
  </si>
  <si>
    <t>Government Subsidy as per Tariff Order</t>
  </si>
  <si>
    <t>Total GAP before FSA</t>
  </si>
  <si>
    <t>FSA*</t>
  </si>
  <si>
    <t>Total GAP after FSA</t>
  </si>
  <si>
    <t>* Deviation represents unrealised portion of FSA due to pending court cases</t>
  </si>
  <si>
    <t>TSSPDCL True-up Template</t>
  </si>
  <si>
    <t>2014-15</t>
  </si>
  <si>
    <t>2015-16</t>
  </si>
  <si>
    <t>2016-17</t>
  </si>
  <si>
    <t>2017-18</t>
  </si>
  <si>
    <t>2018-19</t>
  </si>
  <si>
    <t>-NTI &amp; Revenue from Open Access Consumers</t>
  </si>
  <si>
    <t xml:space="preserve"> Deductions to Cons Contributions </t>
  </si>
  <si>
    <t>O&amp;M Gross</t>
  </si>
  <si>
    <t>EC</t>
  </si>
  <si>
    <t>AG</t>
  </si>
  <si>
    <t>RM</t>
  </si>
  <si>
    <t>Exp capitalised</t>
  </si>
  <si>
    <t>Depreciation during the year less amortised dep on CC assets</t>
  </si>
  <si>
    <t>*Special Appropriation is reflected in GFA as the amoutns are capitalised</t>
  </si>
  <si>
    <t>Under Depreciaition- Approved shows accumulated deprecaition of total assets excluding assets contributed by consumer contribution and whereas actual shows depreciation on total assets</t>
  </si>
  <si>
    <t>Under Consumer contribution- Approved is during the year consumer contribution whereas actual shows accumulated consumer contribution less amortised year-on-year</t>
  </si>
  <si>
    <t>Rs. in crore</t>
  </si>
  <si>
    <t>Particulars</t>
  </si>
  <si>
    <t>Deviations</t>
  </si>
  <si>
    <t>Actuals (MoP)</t>
  </si>
  <si>
    <t>FY 2019-20</t>
  </si>
  <si>
    <t>Operation &amp; Maintenance expenses</t>
  </si>
  <si>
    <t>Special appropriations</t>
  </si>
  <si>
    <t>Aggregate Revenue Requirement</t>
  </si>
  <si>
    <t>Less: Non-Tariff Income</t>
  </si>
  <si>
    <t>Less: Revenue from OA</t>
  </si>
  <si>
    <t>Net Aggregate Revenue Requirement</t>
  </si>
  <si>
    <t>Revenue Gaps Calculation</t>
  </si>
  <si>
    <t>Revenue from Tariff (Wheeling only)</t>
  </si>
  <si>
    <t>Total Gap from Distribution Business</t>
  </si>
  <si>
    <t>Total Gap inclusive of carrying cost for true up</t>
  </si>
  <si>
    <t>Revenue from OA</t>
  </si>
  <si>
    <t>Non-Tariff Income</t>
  </si>
  <si>
    <t>*Special Appropriation is based on GFA</t>
  </si>
  <si>
    <t>Tax on Income</t>
  </si>
  <si>
    <t>Capitalization</t>
  </si>
  <si>
    <t>New Investment</t>
  </si>
  <si>
    <t>O&amp;M Expenses Capitalised</t>
  </si>
  <si>
    <t>Interest During Construction capitalised</t>
  </si>
  <si>
    <t>Investment capitalized</t>
  </si>
  <si>
    <t>Operation &amp; Maintenance expense Gross</t>
  </si>
  <si>
    <t>Employee cost</t>
  </si>
  <si>
    <t>Admin &amp; General expenses</t>
  </si>
  <si>
    <t>Repairs &amp; Maintenance</t>
  </si>
  <si>
    <t>Expense capitalised</t>
  </si>
  <si>
    <t>Net O&amp;M expense</t>
  </si>
  <si>
    <t>Operation &amp; Maintenance expense Capitalised</t>
  </si>
  <si>
    <t>Employee Expenses</t>
  </si>
  <si>
    <t>A&amp;G Expenses</t>
  </si>
  <si>
    <t>Total expense capitalised</t>
  </si>
  <si>
    <t>Operation &amp; Maintenance expense (Net of expense capitalised)</t>
  </si>
  <si>
    <t>WACC Calculations</t>
  </si>
  <si>
    <t>Closing Balance</t>
  </si>
  <si>
    <t>Interest Expenditure</t>
  </si>
  <si>
    <t>Cost of Debt</t>
  </si>
  <si>
    <t>Long term capex loans</t>
  </si>
  <si>
    <t>Return on Equity</t>
  </si>
  <si>
    <t>Regulated rate base calculations</t>
  </si>
  <si>
    <t>RoCE</t>
  </si>
  <si>
    <t>Assets Scrapped</t>
  </si>
  <si>
    <t>Materials price variance</t>
  </si>
  <si>
    <t>Compensation paid to electrical accidents</t>
  </si>
  <si>
    <t>Total</t>
  </si>
  <si>
    <t>Sr.no</t>
  </si>
  <si>
    <t>2019-20</t>
  </si>
  <si>
    <t>Interest on Staff Loans and Advances</t>
  </si>
  <si>
    <t>Fines and Penalties from suppliers/contractors</t>
  </si>
  <si>
    <t>Profit on Sale of scrap</t>
  </si>
  <si>
    <t>Excess found on physical stock verification</t>
  </si>
  <si>
    <t>Sale of Tender schedules</t>
  </si>
  <si>
    <t>Rental contractors</t>
  </si>
  <si>
    <t>Supervision / Incidental charges</t>
  </si>
  <si>
    <t>Misc. Income-</t>
  </si>
  <si>
    <t xml:space="preserve">(a) Price variation </t>
  </si>
  <si>
    <t>-</t>
  </si>
  <si>
    <t>(b) Misc. Receipts</t>
  </si>
  <si>
    <t>Other Income</t>
  </si>
  <si>
    <t>a. Meter testing charges</t>
  </si>
  <si>
    <t>b Transformer testing charges</t>
  </si>
  <si>
    <t>c. Income from centages</t>
  </si>
  <si>
    <t>d. Hire charges equipment</t>
  </si>
  <si>
    <t>e. Lease income</t>
  </si>
  <si>
    <t>f. Registration fee</t>
  </si>
  <si>
    <t>g. gain/loss counter excess</t>
  </si>
  <si>
    <t>h. Transfer fees</t>
  </si>
  <si>
    <t>i. Rent on fixtures</t>
  </si>
  <si>
    <t>j. Meter rent/service line rent</t>
  </si>
  <si>
    <t>NTI Total (excluding amortization)</t>
  </si>
  <si>
    <t>Consumer Contribution amt</t>
  </si>
  <si>
    <t>APR 2019-20</t>
  </si>
  <si>
    <t xml:space="preserve">Actuals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</si>
</sst>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(* #,##0.00_);_(* \(#,##0.00\);_(* &quot;-&quot;??_);_(@_)"/>
    <numFmt numFmtId="164" formatCode="0.00_);\(0.00\)"/>
    <numFmt numFmtId="165" formatCode="_(* #,##0_);_(* \(#,##0\);_(* &quot;-&quot;??_);_(@_)"/>
    <numFmt numFmtId="166" formatCode="0_);\(0\)"/>
    <numFmt numFmtId="167" formatCode="_(* #,##0.0_);_(* \(#,##0.0\);_(* &quot;-&quot;??_);_(@_)"/>
    <numFmt numFmtId="168" formatCode="0.0_);\(0.0\)"/>
    <numFmt numFmtId="169" formatCode="0.00000"/>
    <numFmt numFmtId="170" formatCode="0.0%"/>
    <numFmt numFmtId="171" formatCode="0.000"/>
    <numFmt numFmtId="172" formatCode="0.00_);[Red]\(0.00\)"/>
    <numFmt numFmtId="173" formatCode="_ &quot;\&quot;* #,##0_ ;_ &quot;\&quot;* \-#,##0_ ;_ &quot;\&quot;* &quot;-&quot;_ ;_ @_ "/>
    <numFmt numFmtId="174" formatCode="_ &quot;\&quot;* #,##0.00_ ;_ &quot;\&quot;* \-#,##0.00_ ;_ &quot;\&quot;* &quot;-&quot;??_ ;_ @_ "/>
    <numFmt numFmtId="175" formatCode="_ * #,##0_ ;_ * \-#,##0_ ;_ * &quot;-&quot;_ ;_ @_ "/>
    <numFmt numFmtId="176" formatCode="_ * #,##0.00_ ;_ * \-#,##0.00_ ;_ * &quot;-&quot;??_ ;_ @_ "/>
    <numFmt numFmtId="177" formatCode="&quot;$&quot;#,##0.0000_);\(&quot;$&quot;#,##0.0000\)"/>
    <numFmt numFmtId="178" formatCode="&quot;\&quot;#,##0.00;[Red]\-&quot;\&quot;#,##0.00"/>
    <numFmt numFmtId="179" formatCode="_-* #,##0.00_-;\-* #,##0.00_-;_-* &quot;-&quot;??_-;_-@_-"/>
    <numFmt numFmtId="180" formatCode="&quot;On&quot;;&quot;On&quot;;&quot;Off&quot;"/>
    <numFmt numFmtId="181" formatCode="&quot;$&quot;#,##0;\-&quot;$&quot;#,##0"/>
    <numFmt numFmtId="182" formatCode="#,##0.0"/>
    <numFmt numFmtId="183" formatCode="#,##0.0_);\(#,##0.0\)"/>
    <numFmt numFmtId="184" formatCode="0\);"/>
    <numFmt numFmtId="185" formatCode="#,##0;[Red]\(#,##0\)"/>
    <numFmt numFmtId="186" formatCode="#,##0.0000_)"/>
    <numFmt numFmtId="187" formatCode="##,##0.000_);\(#,##0.000\)"/>
    <numFmt numFmtId="188" formatCode="0.00_)"/>
    <numFmt numFmtId="189" formatCode="_-* #,##0_-;\-* #,##0_-;_-* &quot;-&quot;_-;_-@_-"/>
    <numFmt numFmtId="190" formatCode="_(&quot;$&quot;* #,##0.0000000_);_(&quot;$&quot;* \(#,##0.0000000\);_(&quot;$&quot;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theme="0"/>
      <name val="Arial"/>
      <family val="2"/>
    </font>
    <font>
      <sz val="14"/>
      <name val="AngsanaUPC"/>
      <family val="1"/>
    </font>
    <font>
      <sz val="12"/>
      <name val="¹ÙÅÁÃ¼"/>
      <family val="1"/>
      <charset val="129"/>
    </font>
    <font>
      <sz val="8"/>
      <name val="Times New Roman"/>
      <family val="1"/>
    </font>
    <font>
      <sz val="12"/>
      <name val="¹ÙÅÁÃ¼"/>
      <charset val="129"/>
    </font>
    <font>
      <sz val="10"/>
      <name val="MS Serif"/>
      <family val="1"/>
    </font>
    <font>
      <sz val="10"/>
      <name val="Courier"/>
      <family val="3"/>
    </font>
    <font>
      <sz val="11"/>
      <name val="Book Antiqua"/>
      <family val="1"/>
    </font>
    <font>
      <sz val="10"/>
      <color indexed="16"/>
      <name val="MS Serif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u/>
      <sz val="9"/>
      <color indexed="12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i/>
      <sz val="16"/>
      <name val="Helv"/>
    </font>
    <font>
      <b/>
      <sz val="10"/>
      <name val="Arial CE"/>
      <family val="2"/>
      <charset val="238"/>
    </font>
    <font>
      <sz val="10"/>
      <name val="Tms Rmn"/>
    </font>
    <font>
      <sz val="10"/>
      <name val="MS Sans Serif"/>
      <family val="2"/>
    </font>
    <font>
      <u/>
      <sz val="9"/>
      <color indexed="36"/>
      <name val="Arial"/>
      <family val="2"/>
    </font>
    <font>
      <sz val="10"/>
      <color indexed="8"/>
      <name val="Arial"/>
      <family val="2"/>
    </font>
    <font>
      <b/>
      <sz val="8"/>
      <color indexed="8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>
      <alignment horizontal="center" vertical="top" wrapText="1"/>
      <protection locked="0"/>
    </xf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8" fillId="0" borderId="0"/>
    <xf numFmtId="177" fontId="9" fillId="0" borderId="0" applyFill="0" applyBorder="0" applyAlignment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5" fontId="31" fillId="0" borderId="16"/>
    <xf numFmtId="0" fontId="32" fillId="0" borderId="0" applyNumberFormat="0" applyAlignment="0">
      <alignment horizontal="left"/>
    </xf>
    <xf numFmtId="182" fontId="33" fillId="0" borderId="17">
      <alignment horizontal="right"/>
    </xf>
    <xf numFmtId="38" fontId="34" fillId="9" borderId="0" applyNumberFormat="0" applyBorder="0" applyAlignment="0" applyProtection="0"/>
    <xf numFmtId="0" fontId="35" fillId="0" borderId="18" applyNumberFormat="0" applyAlignment="0" applyProtection="0">
      <alignment horizontal="left"/>
    </xf>
    <xf numFmtId="0" fontId="35" fillId="0" borderId="2">
      <alignment horizontal="left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0" fontId="34" fillId="17" borderId="1" applyNumberFormat="0" applyBorder="0" applyAlignment="0" applyProtection="0"/>
    <xf numFmtId="183" fontId="38" fillId="18" borderId="0"/>
    <xf numFmtId="183" fontId="39" fillId="19" borderId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37" fontId="40" fillId="0" borderId="0"/>
    <xf numFmtId="188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17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4" fontId="27" fillId="0" borderId="0">
      <alignment horizontal="center" vertical="top" wrapText="1"/>
      <protection locked="0"/>
    </xf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2" fillId="0" borderId="0" applyFont="0"/>
    <xf numFmtId="181" fontId="43" fillId="0" borderId="0"/>
    <xf numFmtId="0" fontId="44" fillId="0" borderId="0" applyNumberFormat="0" applyFont="0" applyFill="0" applyBorder="0" applyAlignment="0" applyProtection="0">
      <alignment horizontal="left"/>
    </xf>
    <xf numFmtId="190" fontId="9" fillId="0" borderId="0" applyNumberFormat="0" applyFill="0" applyBorder="0" applyAlignment="0" applyProtection="0">
      <alignment horizontal="left"/>
    </xf>
    <xf numFmtId="0" fontId="45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6" fillId="0" borderId="0"/>
    <xf numFmtId="40" fontId="47" fillId="0" borderId="0" applyBorder="0">
      <alignment horizontal="right"/>
    </xf>
  </cellStyleXfs>
  <cellXfs count="342">
    <xf numFmtId="0" fontId="0" fillId="0" borderId="0" xfId="0"/>
    <xf numFmtId="0" fontId="0" fillId="0" borderId="0" xfId="0" applyAlignment="1">
      <alignment wrapText="1"/>
    </xf>
    <xf numFmtId="43" fontId="5" fillId="4" borderId="1" xfId="1" applyFont="1" applyFill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left" vertical="center" wrapText="1"/>
    </xf>
    <xf numFmtId="10" fontId="0" fillId="0" borderId="0" xfId="0" applyNumberFormat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7" borderId="1" xfId="1" applyNumberFormat="1" applyFont="1" applyFill="1" applyBorder="1" applyAlignment="1" applyProtection="1">
      <alignment vertical="center"/>
    </xf>
    <xf numFmtId="165" fontId="3" fillId="7" borderId="1" xfId="1" applyNumberFormat="1" applyFont="1" applyFill="1" applyBorder="1" applyAlignment="1" applyProtection="1">
      <alignment vertical="center"/>
    </xf>
    <xf numFmtId="166" fontId="3" fillId="7" borderId="1" xfId="1" applyNumberFormat="1" applyFont="1" applyFill="1" applyBorder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164" fontId="3" fillId="6" borderId="1" xfId="1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164" fontId="7" fillId="7" borderId="1" xfId="1" applyNumberFormat="1" applyFont="1" applyFill="1" applyBorder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43" fontId="3" fillId="0" borderId="1" xfId="1" applyNumberFormat="1" applyFont="1" applyFill="1" applyBorder="1" applyAlignment="1" applyProtection="1">
      <alignment vertical="center"/>
    </xf>
    <xf numFmtId="43" fontId="0" fillId="0" borderId="0" xfId="0" applyNumberFormat="1"/>
    <xf numFmtId="1" fontId="6" fillId="0" borderId="1" xfId="0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/>
    </xf>
    <xf numFmtId="165" fontId="6" fillId="4" borderId="1" xfId="1" applyNumberFormat="1" applyFont="1" applyFill="1" applyBorder="1" applyAlignment="1" applyProtection="1">
      <alignment vertical="center"/>
    </xf>
    <xf numFmtId="165" fontId="3" fillId="4" borderId="1" xfId="1" applyNumberFormat="1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horizontal="righ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165" fontId="3" fillId="8" borderId="1" xfId="1" applyNumberFormat="1" applyFont="1" applyFill="1" applyBorder="1" applyAlignment="1" applyProtection="1">
      <alignment vertical="center"/>
    </xf>
    <xf numFmtId="43" fontId="3" fillId="8" borderId="1" xfId="1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 applyProtection="1">
      <alignment vertical="center" wrapText="1"/>
    </xf>
    <xf numFmtId="1" fontId="6" fillId="0" borderId="1" xfId="0" applyNumberFormat="1" applyFont="1" applyFill="1" applyBorder="1" applyAlignment="1" applyProtection="1">
      <alignment horizontal="right" vertical="center"/>
    </xf>
    <xf numFmtId="2" fontId="6" fillId="0" borderId="1" xfId="0" applyNumberFormat="1" applyFont="1" applyFill="1" applyBorder="1" applyAlignment="1" applyProtection="1">
      <alignment horizontal="right" vertical="center"/>
    </xf>
    <xf numFmtId="165" fontId="6" fillId="0" borderId="1" xfId="1" applyNumberFormat="1" applyFont="1" applyFill="1" applyBorder="1" applyAlignment="1" applyProtection="1">
      <alignment vertical="center"/>
      <protection locked="0"/>
    </xf>
    <xf numFmtId="167" fontId="6" fillId="0" borderId="1" xfId="1" applyNumberFormat="1" applyFont="1" applyFill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43" fontId="6" fillId="0" borderId="1" xfId="1" applyNumberFormat="1" applyFont="1" applyFill="1" applyBorder="1" applyAlignment="1" applyProtection="1">
      <alignment vertical="center"/>
      <protection locked="0"/>
    </xf>
    <xf numFmtId="2" fontId="3" fillId="0" borderId="1" xfId="0" applyNumberFormat="1" applyFont="1" applyFill="1" applyBorder="1" applyAlignment="1" applyProtection="1">
      <alignment horizontal="right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Fill="1" applyBorder="1" applyAlignment="1" applyProtection="1">
      <alignment horizontal="right" vertical="center"/>
      <protection locked="0"/>
    </xf>
    <xf numFmtId="10" fontId="3" fillId="7" borderId="1" xfId="2" applyNumberFormat="1" applyFont="1" applyFill="1" applyBorder="1" applyAlignment="1" applyProtection="1">
      <alignment horizontal="right" vertical="center"/>
    </xf>
    <xf numFmtId="10" fontId="6" fillId="0" borderId="1" xfId="2" applyNumberFormat="1" applyFont="1" applyFill="1" applyBorder="1" applyAlignment="1" applyProtection="1">
      <alignment vertical="center"/>
      <protection locked="0"/>
    </xf>
    <xf numFmtId="10" fontId="3" fillId="7" borderId="1" xfId="2" applyNumberFormat="1" applyFont="1" applyFill="1" applyBorder="1" applyAlignment="1" applyProtection="1">
      <alignment vertical="center"/>
    </xf>
    <xf numFmtId="10" fontId="3" fillId="8" borderId="1" xfId="2" applyNumberFormat="1" applyFont="1" applyFill="1" applyBorder="1" applyAlignment="1" applyProtection="1">
      <alignment horizontal="right" vertical="center"/>
    </xf>
    <xf numFmtId="10" fontId="3" fillId="8" borderId="1" xfId="2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right" vertical="center"/>
    </xf>
    <xf numFmtId="165" fontId="3" fillId="0" borderId="1" xfId="1" applyNumberFormat="1" applyFont="1" applyFill="1" applyBorder="1" applyAlignment="1" applyProtection="1">
      <alignment horizontal="center" vertical="center"/>
    </xf>
    <xf numFmtId="9" fontId="3" fillId="0" borderId="1" xfId="1" applyNumberFormat="1" applyFont="1" applyFill="1" applyBorder="1" applyAlignment="1" applyProtection="1">
      <alignment vertical="center"/>
    </xf>
    <xf numFmtId="9" fontId="3" fillId="0" borderId="1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10" fillId="0" borderId="0" xfId="0" applyFont="1" applyFill="1" applyBorder="1" applyAlignment="1" applyProtection="1">
      <alignment vertical="center" wrapText="1"/>
    </xf>
    <xf numFmtId="2" fontId="0" fillId="0" borderId="8" xfId="0" applyNumberFormat="1" applyFill="1" applyBorder="1"/>
    <xf numFmtId="2" fontId="11" fillId="0" borderId="9" xfId="0" applyNumberFormat="1" applyFont="1" applyBorder="1"/>
    <xf numFmtId="2" fontId="11" fillId="0" borderId="10" xfId="0" applyNumberFormat="1" applyFont="1" applyFill="1" applyBorder="1"/>
    <xf numFmtId="2" fontId="11" fillId="9" borderId="10" xfId="0" applyNumberFormat="1" applyFont="1" applyFill="1" applyBorder="1" applyAlignment="1">
      <alignment horizontal="right"/>
    </xf>
    <xf numFmtId="2" fontId="11" fillId="9" borderId="10" xfId="0" applyNumberFormat="1" applyFont="1" applyFill="1" applyBorder="1"/>
    <xf numFmtId="2" fontId="0" fillId="0" borderId="1" xfId="0" applyNumberFormat="1" applyBorder="1" applyAlignment="1">
      <alignment horizontal="left" indent="1"/>
    </xf>
    <xf numFmtId="2" fontId="0" fillId="10" borderId="8" xfId="0" applyNumberFormat="1" applyFill="1" applyBorder="1" applyAlignment="1">
      <alignment horizontal="right"/>
    </xf>
    <xf numFmtId="2" fontId="0" fillId="10" borderId="8" xfId="0" applyNumberFormat="1" applyFill="1" applyBorder="1"/>
    <xf numFmtId="2" fontId="0" fillId="0" borderId="0" xfId="0" applyNumberFormat="1" applyAlignment="1">
      <alignment horizontal="right"/>
    </xf>
    <xf numFmtId="166" fontId="0" fillId="0" borderId="8" xfId="0" applyNumberFormat="1" applyFill="1" applyBorder="1"/>
    <xf numFmtId="166" fontId="0" fillId="10" borderId="8" xfId="0" applyNumberFormat="1" applyFill="1" applyBorder="1"/>
    <xf numFmtId="166" fontId="0" fillId="0" borderId="0" xfId="0" applyNumberFormat="1"/>
    <xf numFmtId="2" fontId="11" fillId="0" borderId="1" xfId="0" applyNumberFormat="1" applyFont="1" applyBorder="1"/>
    <xf numFmtId="2" fontId="11" fillId="0" borderId="8" xfId="0" applyNumberFormat="1" applyFont="1" applyFill="1" applyBorder="1"/>
    <xf numFmtId="2" fontId="11" fillId="9" borderId="8" xfId="0" applyNumberFormat="1" applyFont="1" applyFill="1" applyBorder="1" applyAlignment="1">
      <alignment horizontal="right"/>
    </xf>
    <xf numFmtId="2" fontId="11" fillId="9" borderId="8" xfId="0" applyNumberFormat="1" applyFont="1" applyFill="1" applyBorder="1"/>
    <xf numFmtId="2" fontId="0" fillId="0" borderId="0" xfId="0" applyNumberFormat="1"/>
    <xf numFmtId="2" fontId="11" fillId="0" borderId="11" xfId="0" applyNumberFormat="1" applyFont="1" applyFill="1" applyBorder="1"/>
    <xf numFmtId="2" fontId="11" fillId="0" borderId="12" xfId="0" applyNumberFormat="1" applyFont="1" applyFill="1" applyBorder="1"/>
    <xf numFmtId="2" fontId="11" fillId="9" borderId="12" xfId="0" applyNumberFormat="1" applyFont="1" applyFill="1" applyBorder="1" applyAlignment="1">
      <alignment horizontal="right"/>
    </xf>
    <xf numFmtId="2" fontId="11" fillId="9" borderId="12" xfId="0" applyNumberFormat="1" applyFont="1" applyFill="1" applyBorder="1"/>
    <xf numFmtId="166" fontId="11" fillId="9" borderId="12" xfId="0" applyNumberFormat="1" applyFont="1" applyFill="1" applyBorder="1" applyAlignment="1">
      <alignment horizontal="right"/>
    </xf>
    <xf numFmtId="166" fontId="11" fillId="9" borderId="12" xfId="0" applyNumberFormat="1" applyFont="1" applyFill="1" applyBorder="1"/>
    <xf numFmtId="2" fontId="11" fillId="0" borderId="0" xfId="0" applyNumberFormat="1" applyFont="1" applyFill="1" applyBorder="1"/>
    <xf numFmtId="2" fontId="12" fillId="0" borderId="0" xfId="0" applyNumberFormat="1" applyFont="1" applyFill="1" applyBorder="1"/>
    <xf numFmtId="10" fontId="0" fillId="5" borderId="0" xfId="0" applyNumberFormat="1" applyFill="1"/>
    <xf numFmtId="165" fontId="0" fillId="0" borderId="0" xfId="0" applyNumberFormat="1"/>
    <xf numFmtId="0" fontId="15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Border="1"/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horizontal="right"/>
    </xf>
    <xf numFmtId="10" fontId="0" fillId="5" borderId="0" xfId="0" applyNumberFormat="1" applyFill="1" applyBorder="1"/>
    <xf numFmtId="0" fontId="13" fillId="11" borderId="0" xfId="0" applyFont="1" applyFill="1" applyBorder="1" applyAlignment="1" applyProtection="1">
      <alignment wrapText="1"/>
    </xf>
    <xf numFmtId="2" fontId="13" fillId="11" borderId="0" xfId="0" applyNumberFormat="1" applyFont="1" applyFill="1" applyBorder="1" applyAlignment="1" applyProtection="1">
      <alignment wrapText="1"/>
    </xf>
    <xf numFmtId="165" fontId="0" fillId="0" borderId="0" xfId="0" applyNumberFormat="1" applyBorder="1"/>
    <xf numFmtId="165" fontId="14" fillId="7" borderId="0" xfId="1" applyNumberFormat="1" applyFont="1" applyFill="1" applyBorder="1" applyAlignment="1" applyProtection="1">
      <alignment horizontal="right" vertical="center"/>
    </xf>
    <xf numFmtId="2" fontId="0" fillId="0" borderId="0" xfId="0" applyNumberFormat="1" applyBorder="1"/>
    <xf numFmtId="0" fontId="15" fillId="12" borderId="0" xfId="0" applyFont="1" applyFill="1" applyBorder="1" applyAlignment="1">
      <alignment horizontal="left" vertical="center"/>
    </xf>
    <xf numFmtId="0" fontId="17" fillId="12" borderId="0" xfId="0" applyFont="1" applyFill="1" applyBorder="1" applyAlignment="1">
      <alignment horizontal="left" vertical="center"/>
    </xf>
    <xf numFmtId="0" fontId="17" fillId="12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1" fontId="0" fillId="0" borderId="0" xfId="0" applyNumberFormat="1" applyBorder="1"/>
    <xf numFmtId="0" fontId="0" fillId="6" borderId="0" xfId="0" applyFill="1"/>
    <xf numFmtId="2" fontId="11" fillId="6" borderId="0" xfId="0" applyNumberFormat="1" applyFont="1" applyFill="1" applyBorder="1"/>
    <xf numFmtId="2" fontId="0" fillId="6" borderId="0" xfId="0" applyNumberFormat="1" applyFill="1"/>
    <xf numFmtId="0" fontId="0" fillId="6" borderId="0" xfId="0" applyFill="1" applyBorder="1"/>
    <xf numFmtId="2" fontId="12" fillId="6" borderId="0" xfId="0" applyNumberFormat="1" applyFont="1" applyFill="1" applyBorder="1"/>
    <xf numFmtId="10" fontId="0" fillId="6" borderId="0" xfId="0" applyNumberFormat="1" applyFill="1" applyBorder="1"/>
    <xf numFmtId="0" fontId="13" fillId="13" borderId="0" xfId="0" applyFont="1" applyFill="1" applyBorder="1" applyAlignment="1" applyProtection="1">
      <alignment wrapText="1"/>
    </xf>
    <xf numFmtId="2" fontId="13" fillId="13" borderId="0" xfId="0" applyNumberFormat="1" applyFont="1" applyFill="1" applyBorder="1" applyAlignment="1" applyProtection="1">
      <alignment wrapText="1"/>
    </xf>
    <xf numFmtId="165" fontId="0" fillId="6" borderId="0" xfId="0" applyNumberFormat="1" applyFill="1" applyBorder="1"/>
    <xf numFmtId="165" fontId="14" fillId="6" borderId="0" xfId="1" applyNumberFormat="1" applyFont="1" applyFill="1" applyBorder="1" applyAlignment="1" applyProtection="1">
      <alignment horizontal="right" vertical="center"/>
    </xf>
    <xf numFmtId="2" fontId="0" fillId="6" borderId="0" xfId="0" applyNumberFormat="1" applyFill="1" applyBorder="1"/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center" vertical="center"/>
    </xf>
    <xf numFmtId="1" fontId="0" fillId="6" borderId="0" xfId="0" applyNumberFormat="1" applyFont="1" applyFill="1" applyBorder="1" applyAlignment="1">
      <alignment horizontal="right"/>
    </xf>
    <xf numFmtId="43" fontId="0" fillId="6" borderId="0" xfId="0" applyNumberFormat="1" applyFill="1" applyBorder="1"/>
    <xf numFmtId="0" fontId="17" fillId="6" borderId="0" xfId="0" applyFont="1" applyFill="1" applyBorder="1" applyAlignment="1">
      <alignment horizontal="left" vertical="center"/>
    </xf>
    <xf numFmtId="1" fontId="18" fillId="6" borderId="0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right" vertical="center"/>
    </xf>
    <xf numFmtId="1" fontId="0" fillId="6" borderId="0" xfId="0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right" vertical="center"/>
    </xf>
    <xf numFmtId="165" fontId="3" fillId="6" borderId="0" xfId="1" applyNumberFormat="1" applyFont="1" applyFill="1" applyBorder="1" applyAlignment="1" applyProtection="1">
      <alignment vertical="center"/>
    </xf>
    <xf numFmtId="1" fontId="2" fillId="6" borderId="0" xfId="0" applyNumberFormat="1" applyFont="1" applyFill="1" applyBorder="1"/>
    <xf numFmtId="1" fontId="2" fillId="6" borderId="0" xfId="0" applyNumberFormat="1" applyFont="1" applyFill="1" applyBorder="1" applyAlignment="1">
      <alignment horizontal="right"/>
    </xf>
    <xf numFmtId="1" fontId="0" fillId="6" borderId="0" xfId="0" applyNumberFormat="1" applyFill="1" applyBorder="1"/>
    <xf numFmtId="0" fontId="19" fillId="6" borderId="0" xfId="0" applyFont="1" applyFill="1" applyBorder="1" applyAlignment="1">
      <alignment vertical="center" wrapText="1"/>
    </xf>
    <xf numFmtId="0" fontId="20" fillId="6" borderId="0" xfId="0" applyFont="1" applyFill="1" applyBorder="1"/>
    <xf numFmtId="0" fontId="0" fillId="14" borderId="0" xfId="0" applyFill="1"/>
    <xf numFmtId="0" fontId="0" fillId="14" borderId="0" xfId="0" applyFill="1" applyAlignment="1">
      <alignment wrapText="1"/>
    </xf>
    <xf numFmtId="43" fontId="5" fillId="15" borderId="1" xfId="1" applyFont="1" applyFill="1" applyBorder="1" applyAlignment="1" applyProtection="1">
      <alignment vertical="center" wrapText="1"/>
    </xf>
    <xf numFmtId="10" fontId="0" fillId="14" borderId="0" xfId="0" applyNumberFormat="1" applyFill="1"/>
    <xf numFmtId="9" fontId="0" fillId="14" borderId="0" xfId="0" applyNumberFormat="1" applyFill="1"/>
    <xf numFmtId="166" fontId="3" fillId="0" borderId="1" xfId="0" applyNumberFormat="1" applyFont="1" applyFill="1" applyBorder="1" applyAlignment="1" applyProtection="1">
      <alignment horizontal="right" vertical="center"/>
    </xf>
    <xf numFmtId="165" fontId="3" fillId="14" borderId="1" xfId="1" applyNumberFormat="1" applyFont="1" applyFill="1" applyBorder="1" applyAlignment="1" applyProtection="1">
      <alignment vertical="center"/>
    </xf>
    <xf numFmtId="43" fontId="3" fillId="14" borderId="1" xfId="1" applyNumberFormat="1" applyFont="1" applyFill="1" applyBorder="1" applyAlignment="1" applyProtection="1">
      <alignment vertical="center"/>
    </xf>
    <xf numFmtId="10" fontId="0" fillId="0" borderId="0" xfId="2" applyNumberFormat="1" applyFont="1"/>
    <xf numFmtId="168" fontId="3" fillId="7" borderId="1" xfId="1" applyNumberFormat="1" applyFont="1" applyFill="1" applyBorder="1" applyAlignment="1" applyProtection="1">
      <alignment vertical="center"/>
    </xf>
    <xf numFmtId="166" fontId="7" fillId="7" borderId="1" xfId="1" applyNumberFormat="1" applyFont="1" applyFill="1" applyBorder="1" applyAlignment="1" applyProtection="1">
      <alignment vertical="center"/>
    </xf>
    <xf numFmtId="166" fontId="3" fillId="0" borderId="1" xfId="0" applyNumberFormat="1" applyFont="1" applyFill="1" applyBorder="1" applyAlignment="1" applyProtection="1">
      <alignment horizontal="center" vertical="center"/>
    </xf>
    <xf numFmtId="166" fontId="3" fillId="0" borderId="1" xfId="1" applyNumberFormat="1" applyFont="1" applyFill="1" applyBorder="1" applyAlignment="1" applyProtection="1">
      <alignment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43" fontId="0" fillId="14" borderId="0" xfId="0" applyNumberFormat="1" applyFill="1"/>
    <xf numFmtId="169" fontId="0" fillId="0" borderId="0" xfId="0" applyNumberFormat="1"/>
    <xf numFmtId="0" fontId="3" fillId="7" borderId="1" xfId="0" applyFont="1" applyFill="1" applyBorder="1" applyAlignment="1" applyProtection="1">
      <alignment horizontal="center" vertical="center"/>
    </xf>
    <xf numFmtId="1" fontId="3" fillId="7" borderId="1" xfId="0" applyNumberFormat="1" applyFont="1" applyFill="1" applyBorder="1" applyAlignment="1" applyProtection="1">
      <alignment horizontal="right" vertical="center"/>
    </xf>
    <xf numFmtId="1" fontId="6" fillId="7" borderId="1" xfId="0" applyNumberFormat="1" applyFont="1" applyFill="1" applyBorder="1" applyAlignment="1" applyProtection="1">
      <alignment horizontal="right" vertical="center"/>
    </xf>
    <xf numFmtId="1" fontId="6" fillId="0" borderId="1" xfId="1" applyNumberFormat="1" applyFont="1" applyFill="1" applyBorder="1" applyAlignment="1" applyProtection="1">
      <alignment vertical="center"/>
      <protection locked="0"/>
    </xf>
    <xf numFmtId="1" fontId="3" fillId="7" borderId="1" xfId="1" applyNumberFormat="1" applyFont="1" applyFill="1" applyBorder="1" applyAlignment="1" applyProtection="1">
      <alignment vertical="center"/>
    </xf>
    <xf numFmtId="1" fontId="7" fillId="7" borderId="1" xfId="1" applyNumberFormat="1" applyFont="1" applyFill="1" applyBorder="1" applyAlignment="1" applyProtection="1">
      <alignment vertical="center"/>
    </xf>
    <xf numFmtId="2" fontId="3" fillId="7" borderId="1" xfId="0" applyNumberFormat="1" applyFont="1" applyFill="1" applyBorder="1" applyAlignment="1" applyProtection="1">
      <alignment horizontal="right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3" fillId="7" borderId="1" xfId="1" applyNumberFormat="1" applyFont="1" applyFill="1" applyBorder="1" applyAlignment="1" applyProtection="1">
      <alignment vertical="center"/>
    </xf>
    <xf numFmtId="2" fontId="6" fillId="7" borderId="1" xfId="1" applyNumberFormat="1" applyFont="1" applyFill="1" applyBorder="1" applyAlignment="1" applyProtection="1">
      <alignment vertical="center"/>
    </xf>
    <xf numFmtId="43" fontId="6" fillId="0" borderId="1" xfId="1" applyNumberFormat="1" applyFont="1" applyFill="1" applyBorder="1" applyAlignment="1" applyProtection="1">
      <alignment vertical="center"/>
    </xf>
    <xf numFmtId="170" fontId="6" fillId="0" borderId="1" xfId="2" applyNumberFormat="1" applyFont="1" applyFill="1" applyBorder="1" applyAlignment="1" applyProtection="1">
      <alignment horizontal="right" vertical="center"/>
      <protection locked="0"/>
    </xf>
    <xf numFmtId="170" fontId="6" fillId="7" borderId="1" xfId="2" applyNumberFormat="1" applyFont="1" applyFill="1" applyBorder="1" applyAlignment="1" applyProtection="1">
      <alignment horizontal="right" vertical="center"/>
    </xf>
    <xf numFmtId="170" fontId="6" fillId="7" borderId="1" xfId="2" applyNumberFormat="1" applyFont="1" applyFill="1" applyBorder="1" applyAlignment="1" applyProtection="1">
      <alignment vertical="center"/>
    </xf>
    <xf numFmtId="10" fontId="6" fillId="7" borderId="1" xfId="2" applyNumberFormat="1" applyFont="1" applyFill="1" applyBorder="1" applyAlignment="1" applyProtection="1">
      <alignment horizontal="right" vertical="center"/>
    </xf>
    <xf numFmtId="10" fontId="6" fillId="7" borderId="1" xfId="2" applyNumberFormat="1" applyFont="1" applyFill="1" applyBorder="1" applyAlignment="1" applyProtection="1">
      <alignment vertical="center"/>
    </xf>
    <xf numFmtId="170" fontId="3" fillId="7" borderId="1" xfId="2" applyNumberFormat="1" applyFont="1" applyFill="1" applyBorder="1" applyAlignment="1" applyProtection="1">
      <alignment horizontal="right" vertical="center"/>
    </xf>
    <xf numFmtId="170" fontId="3" fillId="7" borderId="1" xfId="2" applyNumberFormat="1" applyFont="1" applyFill="1" applyBorder="1" applyAlignment="1" applyProtection="1">
      <alignment vertical="center"/>
    </xf>
    <xf numFmtId="165" fontId="6" fillId="7" borderId="1" xfId="1" applyNumberFormat="1" applyFont="1" applyFill="1" applyBorder="1" applyAlignment="1" applyProtection="1">
      <alignment vertical="center"/>
    </xf>
    <xf numFmtId="2" fontId="11" fillId="0" borderId="9" xfId="0" applyNumberFormat="1" applyFont="1" applyFill="1" applyBorder="1"/>
    <xf numFmtId="2" fontId="11" fillId="0" borderId="13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/>
    <xf numFmtId="0" fontId="2" fillId="0" borderId="0" xfId="0" applyFont="1" applyFill="1"/>
    <xf numFmtId="2" fontId="0" fillId="0" borderId="1" xfId="0" applyNumberFormat="1" applyFill="1" applyBorder="1" applyAlignment="1">
      <alignment horizontal="left" indent="1"/>
    </xf>
    <xf numFmtId="2" fontId="0" fillId="0" borderId="14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" fontId="0" fillId="0" borderId="8" xfId="0" applyNumberFormat="1" applyFill="1" applyBorder="1"/>
    <xf numFmtId="1" fontId="0" fillId="0" borderId="14" xfId="0" applyNumberFormat="1" applyFill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" fontId="0" fillId="0" borderId="1" xfId="0" applyNumberFormat="1" applyFill="1" applyBorder="1"/>
    <xf numFmtId="2" fontId="11" fillId="0" borderId="14" xfId="0" applyNumberFormat="1" applyFont="1" applyFill="1" applyBorder="1" applyAlignment="1">
      <alignment horizontal="right"/>
    </xf>
    <xf numFmtId="171" fontId="0" fillId="0" borderId="1" xfId="0" applyNumberFormat="1" applyFill="1" applyBorder="1"/>
    <xf numFmtId="164" fontId="0" fillId="0" borderId="1" xfId="0" applyNumberFormat="1" applyFill="1" applyBorder="1"/>
    <xf numFmtId="2" fontId="2" fillId="0" borderId="8" xfId="0" applyNumberFormat="1" applyFont="1" applyFill="1" applyBorder="1"/>
    <xf numFmtId="1" fontId="2" fillId="0" borderId="8" xfId="0" applyNumberFormat="1" applyFont="1" applyFill="1" applyBorder="1"/>
    <xf numFmtId="1" fontId="2" fillId="0" borderId="14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/>
    <xf numFmtId="1" fontId="11" fillId="0" borderId="15" xfId="0" applyNumberFormat="1" applyFont="1" applyFill="1" applyBorder="1" applyAlignment="1">
      <alignment horizontal="right"/>
    </xf>
    <xf numFmtId="1" fontId="11" fillId="0" borderId="1" xfId="0" applyNumberFormat="1" applyFont="1" applyFill="1" applyBorder="1"/>
    <xf numFmtId="2" fontId="0" fillId="0" borderId="0" xfId="0" applyNumberFormat="1" applyFill="1"/>
    <xf numFmtId="0" fontId="13" fillId="0" borderId="1" xfId="0" applyFont="1" applyFill="1" applyBorder="1" applyAlignment="1" applyProtection="1">
      <alignment wrapText="1"/>
    </xf>
    <xf numFmtId="2" fontId="13" fillId="0" borderId="1" xfId="0" applyNumberFormat="1" applyFont="1" applyFill="1" applyBorder="1" applyAlignment="1" applyProtection="1">
      <alignment wrapText="1"/>
    </xf>
    <xf numFmtId="165" fontId="0" fillId="0" borderId="0" xfId="0" applyNumberFormat="1" applyFill="1"/>
    <xf numFmtId="165" fontId="14" fillId="0" borderId="1" xfId="1" applyNumberFormat="1" applyFont="1" applyFill="1" applyBorder="1" applyAlignment="1" applyProtection="1">
      <alignment horizontal="right" vertical="center"/>
    </xf>
    <xf numFmtId="0" fontId="15" fillId="14" borderId="1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center" vertical="center"/>
    </xf>
    <xf numFmtId="1" fontId="0" fillId="14" borderId="1" xfId="0" applyNumberFormat="1" applyFont="1" applyFill="1" applyBorder="1" applyAlignment="1">
      <alignment horizontal="right"/>
    </xf>
    <xf numFmtId="165" fontId="14" fillId="14" borderId="1" xfId="1" applyNumberFormat="1" applyFont="1" applyFill="1" applyBorder="1" applyAlignment="1" applyProtection="1">
      <alignment horizontal="right" vertical="center"/>
    </xf>
    <xf numFmtId="0" fontId="17" fillId="14" borderId="1" xfId="0" applyFont="1" applyFill="1" applyBorder="1" applyAlignment="1">
      <alignment horizontal="left" vertical="center"/>
    </xf>
    <xf numFmtId="1" fontId="18" fillId="14" borderId="1" xfId="0" applyNumberFormat="1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right" vertical="center"/>
    </xf>
    <xf numFmtId="1" fontId="0" fillId="14" borderId="1" xfId="0" applyNumberFormat="1" applyFont="1" applyFill="1" applyBorder="1" applyAlignment="1">
      <alignment horizontal="right" vertical="center"/>
    </xf>
    <xf numFmtId="0" fontId="0" fillId="14" borderId="0" xfId="0" applyFill="1" applyAlignment="1">
      <alignment horizontal="right" vertical="center"/>
    </xf>
    <xf numFmtId="1" fontId="2" fillId="14" borderId="1" xfId="0" applyNumberFormat="1" applyFont="1" applyFill="1" applyBorder="1"/>
    <xf numFmtId="1" fontId="2" fillId="14" borderId="1" xfId="0" applyNumberFormat="1" applyFont="1" applyFill="1" applyBorder="1" applyAlignment="1">
      <alignment horizontal="right"/>
    </xf>
    <xf numFmtId="1" fontId="0" fillId="14" borderId="0" xfId="0" applyNumberFormat="1" applyFill="1"/>
    <xf numFmtId="0" fontId="19" fillId="14" borderId="1" xfId="0" applyFont="1" applyFill="1" applyBorder="1" applyAlignment="1">
      <alignment vertical="center" wrapText="1"/>
    </xf>
    <xf numFmtId="0" fontId="0" fillId="14" borderId="1" xfId="0" applyFill="1" applyBorder="1"/>
    <xf numFmtId="1" fontId="0" fillId="14" borderId="1" xfId="0" applyNumberFormat="1" applyFill="1" applyBorder="1"/>
    <xf numFmtId="165" fontId="0" fillId="14" borderId="0" xfId="0" applyNumberFormat="1" applyFill="1"/>
    <xf numFmtId="0" fontId="20" fillId="14" borderId="0" xfId="0" applyFont="1" applyFill="1"/>
    <xf numFmtId="2" fontId="12" fillId="14" borderId="0" xfId="0" applyNumberFormat="1" applyFont="1" applyFill="1" applyBorder="1"/>
    <xf numFmtId="0" fontId="13" fillId="16" borderId="1" xfId="0" applyFont="1" applyFill="1" applyBorder="1" applyAlignment="1" applyProtection="1">
      <alignment wrapText="1"/>
    </xf>
    <xf numFmtId="2" fontId="13" fillId="16" borderId="1" xfId="0" applyNumberFormat="1" applyFont="1" applyFill="1" applyBorder="1" applyAlignment="1" applyProtection="1">
      <alignment wrapText="1"/>
    </xf>
    <xf numFmtId="2" fontId="0" fillId="14" borderId="0" xfId="0" applyNumberFormat="1" applyFill="1"/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72" fontId="0" fillId="0" borderId="0" xfId="0" applyNumberFormat="1" applyFill="1"/>
    <xf numFmtId="164" fontId="0" fillId="0" borderId="0" xfId="0" applyNumberFormat="1" applyFill="1"/>
    <xf numFmtId="10" fontId="0" fillId="0" borderId="0" xfId="2" applyNumberFormat="1" applyFont="1" applyFill="1"/>
    <xf numFmtId="0" fontId="0" fillId="0" borderId="1" xfId="0" applyFill="1" applyBorder="1"/>
    <xf numFmtId="43" fontId="0" fillId="0" borderId="1" xfId="0" applyNumberFormat="1" applyFill="1" applyBorder="1"/>
    <xf numFmtId="1" fontId="48" fillId="0" borderId="14" xfId="0" applyNumberFormat="1" applyFont="1" applyFill="1" applyBorder="1" applyAlignment="1">
      <alignment horizontal="right"/>
    </xf>
    <xf numFmtId="166" fontId="3" fillId="8" borderId="1" xfId="1" applyNumberFormat="1" applyFont="1" applyFill="1" applyBorder="1" applyAlignment="1" applyProtection="1">
      <alignment horizontal="right" vertical="center"/>
    </xf>
    <xf numFmtId="166" fontId="3" fillId="7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 vertical="center"/>
      <protection locked="0"/>
    </xf>
    <xf numFmtId="166" fontId="3" fillId="6" borderId="1" xfId="1" applyNumberFormat="1" applyFont="1" applyFill="1" applyBorder="1" applyAlignment="1" applyProtection="1">
      <alignment horizontal="right" vertical="center"/>
      <protection locked="0"/>
    </xf>
    <xf numFmtId="166" fontId="7" fillId="8" borderId="1" xfId="1" applyNumberFormat="1" applyFont="1" applyFill="1" applyBorder="1" applyAlignment="1" applyProtection="1">
      <alignment horizontal="right" vertical="center"/>
    </xf>
    <xf numFmtId="166" fontId="7" fillId="7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 vertical="center"/>
    </xf>
    <xf numFmtId="166" fontId="6" fillId="0" borderId="1" xfId="0" applyNumberFormat="1" applyFont="1" applyFill="1" applyBorder="1" applyAlignment="1" applyProtection="1">
      <alignment horizontal="right" vertical="center"/>
    </xf>
    <xf numFmtId="166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49" fillId="0" borderId="0" xfId="0" applyNumberFormat="1" applyFont="1" applyFill="1" applyBorder="1" applyAlignment="1">
      <alignment horizontal="right"/>
    </xf>
    <xf numFmtId="43" fontId="0" fillId="0" borderId="0" xfId="0" applyNumberFormat="1" applyBorder="1"/>
    <xf numFmtId="165" fontId="6" fillId="7" borderId="4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2" fontId="11" fillId="5" borderId="1" xfId="0" applyNumberFormat="1" applyFont="1" applyFill="1" applyBorder="1"/>
    <xf numFmtId="2" fontId="11" fillId="20" borderId="1" xfId="0" applyNumberFormat="1" applyFont="1" applyFill="1" applyBorder="1"/>
    <xf numFmtId="0" fontId="50" fillId="0" borderId="19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2" fillId="21" borderId="1" xfId="0" applyFont="1" applyFill="1" applyBorder="1" applyAlignment="1">
      <alignment vertical="center"/>
    </xf>
    <xf numFmtId="0" fontId="52" fillId="21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2" fontId="51" fillId="0" borderId="1" xfId="0" applyNumberFormat="1" applyFont="1" applyBorder="1" applyAlignment="1">
      <alignment vertical="center"/>
    </xf>
    <xf numFmtId="43" fontId="51" fillId="0" borderId="1" xfId="0" applyNumberFormat="1" applyFont="1" applyBorder="1" applyAlignment="1">
      <alignment vertical="center"/>
    </xf>
    <xf numFmtId="2" fontId="51" fillId="0" borderId="1" xfId="0" applyNumberFormat="1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/>
    </xf>
    <xf numFmtId="2" fontId="52" fillId="0" borderId="1" xfId="0" applyNumberFormat="1" applyFont="1" applyBorder="1" applyAlignment="1">
      <alignment vertical="center"/>
    </xf>
    <xf numFmtId="43" fontId="52" fillId="0" borderId="1" xfId="0" applyNumberFormat="1" applyFont="1" applyBorder="1" applyAlignment="1">
      <alignment vertical="center"/>
    </xf>
    <xf numFmtId="0" fontId="54" fillId="0" borderId="1" xfId="0" applyFont="1" applyBorder="1"/>
    <xf numFmtId="0" fontId="55" fillId="0" borderId="1" xfId="0" applyFont="1" applyBorder="1"/>
    <xf numFmtId="0" fontId="51" fillId="0" borderId="0" xfId="0" applyFont="1"/>
    <xf numFmtId="2" fontId="55" fillId="0" borderId="1" xfId="0" applyNumberFormat="1" applyFont="1" applyBorder="1"/>
    <xf numFmtId="43" fontId="55" fillId="0" borderId="1" xfId="0" applyNumberFormat="1" applyFont="1" applyBorder="1"/>
    <xf numFmtId="0" fontId="54" fillId="0" borderId="1" xfId="0" applyFont="1" applyFill="1" applyBorder="1"/>
    <xf numFmtId="2" fontId="54" fillId="0" borderId="1" xfId="0" applyNumberFormat="1" applyFont="1" applyBorder="1"/>
    <xf numFmtId="43" fontId="54" fillId="0" borderId="1" xfId="0" applyNumberFormat="1" applyFont="1" applyBorder="1"/>
    <xf numFmtId="0" fontId="55" fillId="0" borderId="1" xfId="0" applyFont="1" applyFill="1" applyBorder="1"/>
    <xf numFmtId="2" fontId="55" fillId="0" borderId="1" xfId="0" applyNumberFormat="1" applyFont="1" applyBorder="1" applyAlignment="1">
      <alignment horizontal="right"/>
    </xf>
    <xf numFmtId="0" fontId="51" fillId="21" borderId="1" xfId="0" applyFont="1" applyFill="1" applyBorder="1" applyAlignment="1">
      <alignment vertical="center"/>
    </xf>
    <xf numFmtId="0" fontId="51" fillId="0" borderId="1" xfId="0" applyFont="1" applyBorder="1" applyAlignment="1">
      <alignment horizontal="left" vertical="center"/>
    </xf>
    <xf numFmtId="0" fontId="52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right" vertical="center"/>
    </xf>
    <xf numFmtId="2" fontId="52" fillId="0" borderId="1" xfId="0" applyNumberFormat="1" applyFont="1" applyFill="1" applyBorder="1" applyAlignment="1">
      <alignment horizontal="right" vertical="center"/>
    </xf>
    <xf numFmtId="0" fontId="52" fillId="0" borderId="1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2" fillId="21" borderId="1" xfId="0" applyFont="1" applyFill="1" applyBorder="1" applyAlignment="1">
      <alignment horizontal="center" vertical="center" wrapText="1"/>
    </xf>
    <xf numFmtId="10" fontId="51" fillId="0" borderId="1" xfId="2" applyNumberFormat="1" applyFont="1" applyBorder="1" applyAlignment="1">
      <alignment vertical="center"/>
    </xf>
    <xf numFmtId="10" fontId="52" fillId="0" borderId="1" xfId="0" applyNumberFormat="1" applyFont="1" applyBorder="1" applyAlignment="1">
      <alignment vertical="center"/>
    </xf>
    <xf numFmtId="10" fontId="52" fillId="0" borderId="1" xfId="2" applyNumberFormat="1" applyFont="1" applyBorder="1" applyAlignment="1">
      <alignment vertical="center"/>
    </xf>
    <xf numFmtId="2" fontId="52" fillId="0" borderId="1" xfId="0" applyNumberFormat="1" applyFont="1" applyFill="1" applyBorder="1" applyAlignment="1">
      <alignment vertical="center"/>
    </xf>
    <xf numFmtId="43" fontId="52" fillId="0" borderId="1" xfId="0" applyNumberFormat="1" applyFont="1" applyFill="1" applyBorder="1" applyAlignment="1">
      <alignment vertical="center"/>
    </xf>
    <xf numFmtId="43" fontId="51" fillId="0" borderId="1" xfId="0" applyNumberFormat="1" applyFont="1" applyFill="1" applyBorder="1" applyAlignment="1">
      <alignment vertical="center"/>
    </xf>
    <xf numFmtId="0" fontId="50" fillId="0" borderId="19" xfId="0" applyFont="1" applyBorder="1" applyAlignment="1"/>
    <xf numFmtId="0" fontId="52" fillId="21" borderId="1" xfId="0" applyFont="1" applyFill="1" applyBorder="1"/>
    <xf numFmtId="0" fontId="52" fillId="21" borderId="1" xfId="0" applyFont="1" applyFill="1" applyBorder="1" applyAlignment="1">
      <alignment horizontal="center"/>
    </xf>
    <xf numFmtId="0" fontId="51" fillId="21" borderId="1" xfId="0" applyFont="1" applyFill="1" applyBorder="1"/>
    <xf numFmtId="2" fontId="51" fillId="0" borderId="1" xfId="0" applyNumberFormat="1" applyFont="1" applyFill="1" applyBorder="1"/>
    <xf numFmtId="43" fontId="51" fillId="0" borderId="1" xfId="0" applyNumberFormat="1" applyFont="1" applyFill="1" applyBorder="1"/>
    <xf numFmtId="0" fontId="51" fillId="0" borderId="1" xfId="0" applyFont="1" applyFill="1" applyBorder="1"/>
    <xf numFmtId="2" fontId="51" fillId="0" borderId="1" xfId="0" applyNumberFormat="1" applyFont="1" applyBorder="1"/>
    <xf numFmtId="0" fontId="52" fillId="0" borderId="1" xfId="0" applyFont="1" applyBorder="1"/>
    <xf numFmtId="2" fontId="52" fillId="0" borderId="1" xfId="0" applyNumberFormat="1" applyFont="1" applyBorder="1"/>
    <xf numFmtId="43" fontId="52" fillId="0" borderId="1" xfId="0" applyNumberFormat="1" applyFont="1" applyFill="1" applyBorder="1"/>
    <xf numFmtId="0" fontId="51" fillId="0" borderId="1" xfId="0" applyFont="1" applyBorder="1" applyAlignment="1">
      <alignment horizontal="right" vertical="center"/>
    </xf>
    <xf numFmtId="0" fontId="51" fillId="0" borderId="1" xfId="0" applyFont="1" applyBorder="1" applyAlignment="1">
      <alignment horizontal="left" vertical="center" indent="2"/>
    </xf>
    <xf numFmtId="0" fontId="51" fillId="0" borderId="1" xfId="0" applyFont="1" applyBorder="1" applyAlignment="1">
      <alignment vertical="top"/>
    </xf>
    <xf numFmtId="0" fontId="52" fillId="0" borderId="1" xfId="0" applyFont="1" applyBorder="1" applyAlignment="1">
      <alignment horizontal="right" vertical="center"/>
    </xf>
    <xf numFmtId="1" fontId="51" fillId="0" borderId="20" xfId="0" applyNumberFormat="1" applyFont="1" applyBorder="1" applyAlignment="1">
      <alignment horizontal="right" vertical="center"/>
    </xf>
    <xf numFmtId="1" fontId="52" fillId="0" borderId="20" xfId="0" applyNumberFormat="1" applyFont="1" applyBorder="1" applyAlignment="1">
      <alignment horizontal="right" vertical="center"/>
    </xf>
    <xf numFmtId="1" fontId="51" fillId="0" borderId="1" xfId="0" applyNumberFormat="1" applyFont="1" applyBorder="1" applyAlignment="1">
      <alignment vertical="center"/>
    </xf>
    <xf numFmtId="165" fontId="6" fillId="0" borderId="5" xfId="1" applyNumberFormat="1" applyFont="1" applyFill="1" applyBorder="1" applyAlignment="1" applyProtection="1">
      <alignment horizontal="center" vertical="center"/>
      <protection locked="0"/>
    </xf>
    <xf numFmtId="165" fontId="6" fillId="0" borderId="6" xfId="1" applyNumberFormat="1" applyFont="1" applyFill="1" applyBorder="1" applyAlignment="1" applyProtection="1">
      <alignment horizontal="center" vertical="center"/>
      <protection locked="0"/>
    </xf>
    <xf numFmtId="165" fontId="6" fillId="0" borderId="7" xfId="1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/>
    </xf>
    <xf numFmtId="0" fontId="0" fillId="5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24" fillId="4" borderId="1" xfId="0" applyFont="1" applyFill="1" applyBorder="1" applyAlignment="1" applyProtection="1">
      <alignment horizontal="center" vertical="center"/>
    </xf>
    <xf numFmtId="0" fontId="24" fillId="4" borderId="1" xfId="0" applyFont="1" applyFill="1" applyBorder="1" applyAlignment="1" applyProtection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2" fillId="21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21" borderId="4" xfId="0" applyFont="1" applyFill="1" applyBorder="1" applyAlignment="1">
      <alignment horizontal="center" vertical="center"/>
    </xf>
    <xf numFmtId="0" fontId="51" fillId="21" borderId="2" xfId="0" applyFont="1" applyFill="1" applyBorder="1" applyAlignment="1">
      <alignment horizontal="center" vertical="center"/>
    </xf>
    <xf numFmtId="0" fontId="51" fillId="21" borderId="3" xfId="0" applyFont="1" applyFill="1" applyBorder="1" applyAlignment="1">
      <alignment horizontal="center" vertical="center"/>
    </xf>
    <xf numFmtId="0" fontId="52" fillId="21" borderId="4" xfId="0" applyFont="1" applyFill="1" applyBorder="1" applyAlignment="1">
      <alignment horizontal="center" vertical="center"/>
    </xf>
    <xf numFmtId="0" fontId="52" fillId="21" borderId="2" xfId="0" applyFont="1" applyFill="1" applyBorder="1" applyAlignment="1">
      <alignment horizontal="center" vertical="center"/>
    </xf>
    <xf numFmtId="0" fontId="52" fillId="21" borderId="3" xfId="0" applyFont="1" applyFill="1" applyBorder="1" applyAlignment="1">
      <alignment horizontal="center" vertical="center"/>
    </xf>
    <xf numFmtId="0" fontId="51" fillId="21" borderId="1" xfId="0" applyFont="1" applyFill="1" applyBorder="1" applyAlignment="1">
      <alignment horizontal="center" vertical="center"/>
    </xf>
    <xf numFmtId="2" fontId="51" fillId="0" borderId="5" xfId="0" applyNumberFormat="1" applyFont="1" applyFill="1" applyBorder="1" applyAlignment="1">
      <alignment horizontal="right" vertical="center"/>
    </xf>
    <xf numFmtId="2" fontId="51" fillId="0" borderId="7" xfId="0" applyNumberFormat="1" applyFont="1" applyFill="1" applyBorder="1" applyAlignment="1">
      <alignment horizontal="right" vertical="center"/>
    </xf>
    <xf numFmtId="0" fontId="50" fillId="0" borderId="19" xfId="0" applyFont="1" applyBorder="1" applyAlignment="1">
      <alignment horizontal="center"/>
    </xf>
    <xf numFmtId="0" fontId="51" fillId="21" borderId="1" xfId="0" applyFont="1" applyFill="1" applyBorder="1" applyAlignment="1">
      <alignment horizontal="center"/>
    </xf>
    <xf numFmtId="0" fontId="50" fillId="0" borderId="19" xfId="0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0" fontId="13" fillId="13" borderId="0" xfId="0" applyFont="1" applyFill="1" applyBorder="1" applyAlignment="1" applyProtection="1">
      <alignment horizontal="left" wrapText="1"/>
    </xf>
    <xf numFmtId="0" fontId="0" fillId="6" borderId="0" xfId="0" applyFill="1" applyBorder="1" applyAlignment="1">
      <alignment horizontal="left"/>
    </xf>
  </cellXfs>
  <cellStyles count="69">
    <cellStyle name="75" xfId="4"/>
    <cellStyle name="ÅëÈ­ [0]_±âÅ¸" xfId="5"/>
    <cellStyle name="ÅëÈ­_±âÅ¸" xfId="6"/>
    <cellStyle name="args.style" xfId="7"/>
    <cellStyle name="ÄÞ¸¶ [0]_±âÅ¸" xfId="8"/>
    <cellStyle name="ÄÞ¸¶_±âÅ¸" xfId="9"/>
    <cellStyle name="Ç¥ÁØ_¿¬°£´©°è¿¹»ó" xfId="10"/>
    <cellStyle name="Calc Currency (0)" xfId="11"/>
    <cellStyle name="Comma" xfId="1" builtinId="3"/>
    <cellStyle name="Comma  - Style1" xfId="12"/>
    <cellStyle name="Comma  - Style2" xfId="13"/>
    <cellStyle name="Comma  - Style3" xfId="14"/>
    <cellStyle name="Comma  - Style4" xfId="15"/>
    <cellStyle name="Comma  - Style5" xfId="16"/>
    <cellStyle name="Comma  - Style6" xfId="17"/>
    <cellStyle name="Comma  - Style7" xfId="18"/>
    <cellStyle name="Comma  - Style8" xfId="19"/>
    <cellStyle name="Comma 2" xfId="20"/>
    <cellStyle name="Comma 2 2" xfId="21"/>
    <cellStyle name="Comma 2 3" xfId="22"/>
    <cellStyle name="Comma 2 4" xfId="23"/>
    <cellStyle name="Comma 2 4 2" xfId="24"/>
    <cellStyle name="Comma 3" xfId="25"/>
    <cellStyle name="Comma 4" xfId="26"/>
    <cellStyle name="Comma 5" xfId="27"/>
    <cellStyle name="Comma 6" xfId="28"/>
    <cellStyle name="Comma 7" xfId="29"/>
    <cellStyle name="Copied" xfId="30"/>
    <cellStyle name="COST1" xfId="31"/>
    <cellStyle name="date" xfId="32"/>
    <cellStyle name="Entered" xfId="33"/>
    <cellStyle name="Formula" xfId="34"/>
    <cellStyle name="Grey" xfId="35"/>
    <cellStyle name="Header1" xfId="36"/>
    <cellStyle name="Header2" xfId="37"/>
    <cellStyle name="Hyperlink 2" xfId="38"/>
    <cellStyle name="Hypertextový odkaz" xfId="39"/>
    <cellStyle name="Input [yellow]" xfId="40"/>
    <cellStyle name="Input Cells" xfId="41"/>
    <cellStyle name="Linked Cells" xfId="42"/>
    <cellStyle name="Milliers [0]_!!!GO" xfId="43"/>
    <cellStyle name="Milliers_!!!GO" xfId="44"/>
    <cellStyle name="Monétaire [0]_!!!GO" xfId="45"/>
    <cellStyle name="Monétaire_!!!GO" xfId="46"/>
    <cellStyle name="no dec" xfId="47"/>
    <cellStyle name="Normal" xfId="0" builtinId="0"/>
    <cellStyle name="Normal - Style1" xfId="48"/>
    <cellStyle name="Normal 2" xfId="49"/>
    <cellStyle name="Normal 3" xfId="50"/>
    <cellStyle name="Normal 3 2" xfId="51"/>
    <cellStyle name="Normal 4" xfId="52"/>
    <cellStyle name="Normal 5" xfId="53"/>
    <cellStyle name="Normal 6" xfId="54"/>
    <cellStyle name="Œ…‹æØ‚è [0.00]_Region Orders (2)" xfId="55"/>
    <cellStyle name="Œ…‹æØ‚è_Region Orders (2)" xfId="56"/>
    <cellStyle name="per.style" xfId="57"/>
    <cellStyle name="Percent" xfId="2" builtinId="5"/>
    <cellStyle name="Percent [2]" xfId="58"/>
    <cellStyle name="Percent 2" xfId="3"/>
    <cellStyle name="Percent 3" xfId="59"/>
    <cellStyle name="Percent 4" xfId="60"/>
    <cellStyle name="Popis" xfId="61"/>
    <cellStyle name="pricing" xfId="62"/>
    <cellStyle name="PSChar" xfId="63"/>
    <cellStyle name="RevList" xfId="64"/>
    <cellStyle name="Sledovaný hypertextový odkaz" xfId="65"/>
    <cellStyle name="Standard_BS14" xfId="66"/>
    <cellStyle name="Style 1" xfId="67"/>
    <cellStyle name="Subtotal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c\c\My%20Documents\SpecialREPORT-MA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IVENI\ANNUAL%20ACCOUNTS\Annual%20Accounts%202009-10\Annual%20Accounts%202009-10%20-%20Final\Desktop\Annual%20Accounts%202008-09\CA%20&amp;%20CL%202008-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VENI\ANNUAL%20ACCOUNTS\Annual%20Accounts%202011-12\Accounts%202011-12%20final\APCPDCL-%20Revised%20Scheduled%20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00000"/>
      <sheetName val="BKDNS-11KV"/>
      <sheetName val="BKDNS-33KV"/>
      <sheetName val="BKDNS-EHT"/>
      <sheetName val="Newabstract"/>
      <sheetName val="SHORTFALL"/>
      <sheetName val="ehtbds"/>
      <sheetName val="EHT"/>
      <sheetName val="BKDNS"/>
      <sheetName val="ehtbd"/>
      <sheetName val="PTR-FAILURES"/>
      <sheetName val="DTR-FAILURES"/>
      <sheetName val="disomwiseDTRs"/>
      <sheetName val="EHT-ABSTRACT"/>
      <sheetName val="BKDNS (2)"/>
      <sheetName val="24-07-04 "/>
      <sheetName val="ABST(SOUTH)"/>
      <sheetName val="Profit &amp; Loss"/>
      <sheetName val="Profit &amp; Loss july"/>
      <sheetName val="27-08-04  (2)"/>
      <sheetName val="ABST(SOUTH) rev 08-04"/>
      <sheetName val="1000000000000"/>
      <sheetName val="2000000000000"/>
      <sheetName val="3000000000000"/>
      <sheetName val="4000000000000"/>
      <sheetName val="5000000000000"/>
      <sheetName val="Sheet1"/>
      <sheetName val="Index"/>
      <sheetName val="Achivements"/>
      <sheetName val="Ser rel"/>
      <sheetName val="Services released"/>
      <sheetName val="Ser-2006-07"/>
      <sheetName val="Ser-existing"/>
      <sheetName val="Divn month progress"/>
      <sheetName val="Divn abst."/>
      <sheetName val="Month wise prog."/>
      <sheetName val="SSs"/>
      <sheetName val="Achvt "/>
      <sheetName val="Agl (white paper)"/>
      <sheetName val="Dried up wells"/>
      <sheetName val="SS( 2006-07) "/>
      <sheetName val="SS-existing"/>
      <sheetName val="DW2004-05 "/>
      <sheetName val="a"/>
      <sheetName val="b"/>
      <sheetName val="c"/>
      <sheetName val="d"/>
      <sheetName val="HT"/>
      <sheetName val="HT abstrct"/>
      <sheetName val="HT Add (2)"/>
      <sheetName val="HT details"/>
      <sheetName val="HT Add"/>
      <sheetName val="HT Rel"/>
      <sheetName val="LI Sch"/>
      <sheetName val="LI Schemes dedi Charged"/>
      <sheetName val="LI 1"/>
      <sheetName val="LT Abstract"/>
      <sheetName val="LT Town"/>
      <sheetName val="LT Rural"/>
      <sheetName val="LT MTM"/>
      <sheetName val="LT GDV"/>
      <sheetName val="LT Pending"/>
      <sheetName val="New Agl"/>
      <sheetName val="aquaculture"/>
      <sheetName val="Tathkal"/>
      <sheetName val="agriculture"/>
      <sheetName val="house holds"/>
      <sheetName val="3"/>
      <sheetName val="2"/>
      <sheetName val="1"/>
      <sheetName val="Sheet2"/>
      <sheetName val="DTR_x000d_FAILURES"/>
      <sheetName val=""/>
      <sheetName val="DTR_x005f_x000d_FAILURES"/>
      <sheetName val="ATC Loss Red"/>
      <sheetName val="DTR FAILURES"/>
      <sheetName val="DTR_x005f_x005f_x005f_x000d_FAILURES"/>
      <sheetName val="3-BGP"/>
      <sheetName val="cap all"/>
      <sheetName val="DTR_x005f_x005f_x005f_x005f_x005f_x005f_x005f_x000d_FAI"/>
      <sheetName val="DTR_x005f_x005f_x005f_x000d_FAI"/>
      <sheetName val="DTR_x000a_FAILURES"/>
      <sheetName val="DTR_x005f_x005f_x005f_x005f_x005f_x005f_x005f_x005f_x00"/>
      <sheetName val="R.Hrs. Since Comm"/>
      <sheetName val="DTR_FAILURES"/>
      <sheetName val="Executive Summary -Thermal"/>
      <sheetName val="Stationwise Thermal &amp; Hydel Gen"/>
      <sheetName val="TWELVE"/>
      <sheetName val="DTR_x005f_x000d_FAI"/>
      <sheetName val="DTR_x005f_x005f_x005f_x005f_x00"/>
      <sheetName val="DTR_x000d_FAI"/>
      <sheetName val="DTR_x005f_x005f_x00"/>
      <sheetName val="DTR_x005f_x000a_FAILURES"/>
      <sheetName val="04REL"/>
      <sheetName val="SUMMERY"/>
      <sheetName val="DTR_x005f_x005f_x005f_x000a_FAILURES"/>
      <sheetName val="BKDNS_(2)"/>
      <sheetName val="24-07-04_"/>
      <sheetName val="Profit_&amp;_Loss"/>
      <sheetName val="Profit_&amp;_Loss_july"/>
      <sheetName val="27-08-04__(2)"/>
      <sheetName val="ABST(SOUTH)_rev_08-04"/>
      <sheetName val="Ser_rel"/>
      <sheetName val="Services_released"/>
      <sheetName val="Divn_month_progress"/>
      <sheetName val="Divn_abst_"/>
      <sheetName val="Month_wise_prog_"/>
      <sheetName val="Achvt_"/>
      <sheetName val="Agl_(white_paper)"/>
      <sheetName val="Dried_up_wells"/>
      <sheetName val="SS(_2006-07)_"/>
      <sheetName val="DW2004-05_"/>
      <sheetName val="HT_abstrct"/>
      <sheetName val="HT_Add_(2)"/>
      <sheetName val="HT_details"/>
      <sheetName val="HT_Add"/>
      <sheetName val="HT_Rel"/>
      <sheetName val="LI_Sch"/>
      <sheetName val="LI_Schemes_dedi_Charged"/>
      <sheetName val="LI_1"/>
      <sheetName val="LT_Abstract"/>
      <sheetName val="LT_Town"/>
      <sheetName val="LT_Rural"/>
      <sheetName val="LT_MTM"/>
      <sheetName val="LT_GDV"/>
      <sheetName val="LT_Pending"/>
      <sheetName val="New_Agl"/>
      <sheetName val="house_holds"/>
      <sheetName val="ATC_Loss_Red"/>
      <sheetName val="DTR_FAILURES1"/>
      <sheetName val="cap_all"/>
      <sheetName val="R_Hrs__Since_Comm"/>
      <sheetName val="Executive_Summary_-Thermal"/>
      <sheetName val="Stationwise_Thermal_&amp;_Hydel_Gen"/>
      <sheetName val="DTR_x005f_x005f_x005f_x005f_x005f_x005f_x005f_x000a_FA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Sheet"/>
      <sheetName val="Balance Sheet"/>
      <sheetName val="Schedule to BS"/>
      <sheetName val="Profit And Loss"/>
      <sheetName val="Schedules to P &amp; L"/>
      <sheetName val="TB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Fixed Assets"/>
      <sheetName val="Non Current Investment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Deferred Tax"/>
      <sheetName val="MAT"/>
      <sheetName val="IT Dep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Yes</v>
          </cell>
        </row>
        <row r="3">
          <cell r="K3" t="str">
            <v>No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23"/>
  <sheetViews>
    <sheetView view="pageBreakPreview" zoomScale="85" zoomScaleNormal="100" zoomScaleSheetLayoutView="85" workbookViewId="0">
      <selection activeCell="R12" sqref="R12"/>
    </sheetView>
  </sheetViews>
  <sheetFormatPr defaultRowHeight="15"/>
  <cols>
    <col min="2" max="2" width="35.7109375" bestFit="1" customWidth="1"/>
    <col min="3" max="3" width="7.28515625" customWidth="1"/>
    <col min="4" max="7" width="9.140625" customWidth="1"/>
    <col min="8" max="8" width="9.5703125" customWidth="1"/>
    <col min="9" max="10" width="9.140625" customWidth="1"/>
    <col min="11" max="11" width="9.5703125" customWidth="1"/>
    <col min="12" max="13" width="9.140625" customWidth="1"/>
    <col min="14" max="14" width="9.5703125" customWidth="1"/>
    <col min="15" max="24" width="9.140625" customWidth="1"/>
    <col min="25" max="25" width="11" customWidth="1"/>
    <col min="26" max="26" width="11.85546875" customWidth="1"/>
    <col min="27" max="27" width="9.140625" customWidth="1"/>
    <col min="28" max="29" width="11" bestFit="1" customWidth="1"/>
    <col min="30" max="30" width="9.7109375" bestFit="1" customWidth="1"/>
    <col min="31" max="31" width="11.85546875" customWidth="1"/>
    <col min="32" max="32" width="16.7109375" customWidth="1"/>
  </cols>
  <sheetData>
    <row r="1" spans="1:32">
      <c r="B1" t="s">
        <v>185</v>
      </c>
    </row>
    <row r="2" spans="1:32" ht="18">
      <c r="A2" s="312" t="s">
        <v>0</v>
      </c>
      <c r="B2" s="312"/>
      <c r="C2" s="312"/>
      <c r="D2" s="310" t="s">
        <v>16</v>
      </c>
      <c r="E2" s="310"/>
      <c r="F2" s="311"/>
      <c r="G2" s="310"/>
      <c r="H2" s="310"/>
      <c r="I2" s="311"/>
      <c r="J2" s="310"/>
      <c r="K2" s="310"/>
      <c r="L2" s="311"/>
      <c r="M2" s="310"/>
      <c r="N2" s="310"/>
      <c r="O2" s="311"/>
      <c r="P2" s="310"/>
      <c r="Q2" s="310"/>
      <c r="R2" s="311"/>
      <c r="S2" s="310"/>
      <c r="T2" s="310"/>
      <c r="U2" s="311"/>
      <c r="V2" s="310"/>
      <c r="W2" s="310"/>
      <c r="X2" s="311"/>
      <c r="Y2" s="310"/>
      <c r="Z2" s="310"/>
      <c r="AA2" s="311"/>
      <c r="AB2" s="310"/>
      <c r="AC2" s="310"/>
      <c r="AD2" s="311"/>
    </row>
    <row r="3" spans="1:32" ht="30">
      <c r="A3" s="313" t="s">
        <v>1</v>
      </c>
      <c r="B3" s="314" t="s">
        <v>2</v>
      </c>
      <c r="C3" s="313" t="s">
        <v>3</v>
      </c>
      <c r="D3" s="307" t="s">
        <v>4</v>
      </c>
      <c r="E3" s="308"/>
      <c r="F3" s="309"/>
      <c r="G3" s="307" t="s">
        <v>5</v>
      </c>
      <c r="H3" s="308"/>
      <c r="I3" s="309"/>
      <c r="J3" s="307" t="s">
        <v>6</v>
      </c>
      <c r="K3" s="308"/>
      <c r="L3" s="309"/>
      <c r="M3" s="307" t="s">
        <v>7</v>
      </c>
      <c r="N3" s="308"/>
      <c r="O3" s="309"/>
      <c r="P3" s="307" t="s">
        <v>8</v>
      </c>
      <c r="Q3" s="308"/>
      <c r="R3" s="309"/>
      <c r="S3" s="307" t="s">
        <v>9</v>
      </c>
      <c r="T3" s="308"/>
      <c r="U3" s="309"/>
      <c r="V3" s="307" t="s">
        <v>10</v>
      </c>
      <c r="W3" s="308"/>
      <c r="X3" s="309"/>
      <c r="Y3" s="307" t="s">
        <v>11</v>
      </c>
      <c r="Z3" s="308"/>
      <c r="AA3" s="309"/>
      <c r="AB3" s="307" t="s">
        <v>12</v>
      </c>
      <c r="AC3" s="308"/>
      <c r="AD3" s="309"/>
      <c r="AE3" t="s">
        <v>13</v>
      </c>
      <c r="AF3" s="1" t="s">
        <v>14</v>
      </c>
    </row>
    <row r="4" spans="1:32">
      <c r="A4" s="313"/>
      <c r="B4" s="314"/>
      <c r="C4" s="313"/>
      <c r="D4" s="2" t="s">
        <v>15</v>
      </c>
      <c r="E4" s="2" t="s">
        <v>16</v>
      </c>
      <c r="F4" s="2" t="s">
        <v>17</v>
      </c>
      <c r="G4" s="2" t="s">
        <v>15</v>
      </c>
      <c r="H4" s="2" t="s">
        <v>16</v>
      </c>
      <c r="I4" s="2" t="s">
        <v>17</v>
      </c>
      <c r="J4" s="2" t="s">
        <v>15</v>
      </c>
      <c r="K4" s="2" t="s">
        <v>16</v>
      </c>
      <c r="L4" s="2" t="s">
        <v>17</v>
      </c>
      <c r="M4" s="2" t="s">
        <v>15</v>
      </c>
      <c r="N4" s="2" t="s">
        <v>16</v>
      </c>
      <c r="O4" s="2" t="s">
        <v>17</v>
      </c>
      <c r="P4" s="2" t="s">
        <v>15</v>
      </c>
      <c r="Q4" s="2" t="s">
        <v>16</v>
      </c>
      <c r="R4" s="2" t="s">
        <v>17</v>
      </c>
      <c r="S4" s="2" t="s">
        <v>15</v>
      </c>
      <c r="T4" s="2" t="s">
        <v>16</v>
      </c>
      <c r="U4" s="2" t="s">
        <v>17</v>
      </c>
      <c r="V4" s="2" t="s">
        <v>15</v>
      </c>
      <c r="W4" s="2" t="s">
        <v>16</v>
      </c>
      <c r="X4" s="2" t="s">
        <v>17</v>
      </c>
      <c r="Y4" s="3" t="s">
        <v>15</v>
      </c>
      <c r="Z4" s="3" t="s">
        <v>16</v>
      </c>
      <c r="AA4" s="3" t="s">
        <v>17</v>
      </c>
      <c r="AB4" s="3" t="s">
        <v>15</v>
      </c>
      <c r="AC4" s="3" t="s">
        <v>16</v>
      </c>
      <c r="AD4" s="3" t="s">
        <v>17</v>
      </c>
      <c r="AE4" s="4">
        <v>0.82550000000000001</v>
      </c>
      <c r="AF4" s="4">
        <f>100%-AE4</f>
        <v>0.17449999999999999</v>
      </c>
    </row>
    <row r="5" spans="1:32">
      <c r="A5" s="5"/>
      <c r="B5" s="6"/>
      <c r="C5" s="5"/>
      <c r="D5" s="5"/>
      <c r="E5" s="5"/>
      <c r="F5" s="5"/>
      <c r="G5" s="5"/>
      <c r="H5" s="5"/>
      <c r="I5" s="5"/>
      <c r="J5" s="7"/>
      <c r="K5" s="8"/>
      <c r="L5" s="9"/>
      <c r="M5" s="7"/>
      <c r="N5" s="8"/>
      <c r="O5" s="9"/>
      <c r="P5" s="7"/>
      <c r="Q5" s="8"/>
      <c r="R5" s="9"/>
      <c r="S5" s="7"/>
      <c r="T5" s="8"/>
      <c r="U5" s="9"/>
      <c r="V5" s="7"/>
      <c r="W5" s="8"/>
      <c r="X5" s="9"/>
      <c r="Y5" s="10"/>
      <c r="Z5" s="10"/>
      <c r="AA5" s="10"/>
    </row>
    <row r="6" spans="1:32">
      <c r="A6" s="11" t="s">
        <v>18</v>
      </c>
      <c r="B6" s="12" t="s">
        <v>19</v>
      </c>
      <c r="C6" s="5" t="s">
        <v>20</v>
      </c>
      <c r="D6" s="143">
        <v>371.27</v>
      </c>
      <c r="E6" s="143">
        <v>456.47094510000005</v>
      </c>
      <c r="F6" s="232">
        <f t="shared" ref="F6:F12" si="0">E6-D6</f>
        <v>85.200945100000069</v>
      </c>
      <c r="G6" s="143">
        <v>389.84000000000003</v>
      </c>
      <c r="H6" s="143">
        <v>552.10426800000005</v>
      </c>
      <c r="I6" s="232">
        <f t="shared" ref="I6:I12" si="1">H6-G6</f>
        <v>162.26426800000002</v>
      </c>
      <c r="J6" s="231">
        <v>406.9</v>
      </c>
      <c r="K6" s="231">
        <v>545.96999999999991</v>
      </c>
      <c r="L6" s="232">
        <f t="shared" ref="L6:L18" si="2">K6-J6</f>
        <v>139.06999999999994</v>
      </c>
      <c r="M6" s="231">
        <v>644.72</v>
      </c>
      <c r="N6" s="231">
        <v>602.58000000000004</v>
      </c>
      <c r="O6" s="232">
        <f t="shared" ref="O6:O12" si="3">N6-M6</f>
        <v>-42.139999999999986</v>
      </c>
      <c r="P6" s="231">
        <v>716.32999999999993</v>
      </c>
      <c r="Q6" s="231">
        <v>849.91000000000008</v>
      </c>
      <c r="R6" s="232">
        <f t="shared" ref="R6:R12" si="4">Q6-P6</f>
        <v>133.58000000000015</v>
      </c>
      <c r="S6" s="231">
        <v>784.65000000000009</v>
      </c>
      <c r="T6" s="231">
        <v>1105.9623459000002</v>
      </c>
      <c r="U6" s="232">
        <f t="shared" ref="U6:U12" si="5">T6-S6</f>
        <v>321.31234590000008</v>
      </c>
      <c r="V6" s="231">
        <v>869.17000000000007</v>
      </c>
      <c r="W6" s="231">
        <v>1106.4100000000001</v>
      </c>
      <c r="X6" s="232">
        <f t="shared" ref="X6:X12" si="6">W6-V6</f>
        <v>237.24</v>
      </c>
      <c r="Y6" s="231">
        <v>954.34000000000015</v>
      </c>
      <c r="Z6" s="231">
        <v>1221.96</v>
      </c>
      <c r="AA6" s="232">
        <f t="shared" ref="AA6:AA11" si="7">Z6-Y6</f>
        <v>267.61999999999989</v>
      </c>
      <c r="AB6" s="232">
        <f t="shared" ref="AB6:AD17" si="8">D6+G6+J6+M6+P6+S6+V6+Y6</f>
        <v>5137.22</v>
      </c>
      <c r="AC6" s="232">
        <f t="shared" si="8"/>
        <v>6441.3675590000003</v>
      </c>
      <c r="AD6" s="232">
        <f t="shared" si="8"/>
        <v>1304.1475590000002</v>
      </c>
      <c r="AE6" s="232">
        <f t="shared" ref="AE6:AE16" si="9">AD6*$AE$4</f>
        <v>1076.5738099545001</v>
      </c>
      <c r="AF6" s="232">
        <f>AD6*$AF$4</f>
        <v>227.57374904550002</v>
      </c>
    </row>
    <row r="7" spans="1:32">
      <c r="A7" s="11" t="s">
        <v>21</v>
      </c>
      <c r="B7" s="12" t="s">
        <v>22</v>
      </c>
      <c r="C7" s="5" t="s">
        <v>20</v>
      </c>
      <c r="D7" s="143">
        <v>132.54941250000002</v>
      </c>
      <c r="E7" s="143">
        <v>113.18036503632811</v>
      </c>
      <c r="F7" s="232">
        <f t="shared" si="0"/>
        <v>-19.369047463671905</v>
      </c>
      <c r="G7" s="143">
        <v>146.21368749999999</v>
      </c>
      <c r="H7" s="143">
        <v>118.97480464697921</v>
      </c>
      <c r="I7" s="232">
        <f t="shared" si="1"/>
        <v>-27.238882853020783</v>
      </c>
      <c r="J7" s="231">
        <v>159.90205000000003</v>
      </c>
      <c r="K7" s="231">
        <v>145.6677703339063</v>
      </c>
      <c r="L7" s="232">
        <f t="shared" si="2"/>
        <v>-14.234279666093727</v>
      </c>
      <c r="M7" s="231">
        <v>184.71530000000001</v>
      </c>
      <c r="N7" s="231">
        <v>173.10886127093752</v>
      </c>
      <c r="O7" s="232">
        <f t="shared" si="3"/>
        <v>-11.606438729062489</v>
      </c>
      <c r="P7" s="231">
        <v>209.13970000000003</v>
      </c>
      <c r="Q7" s="231">
        <v>200.86058038921885</v>
      </c>
      <c r="R7" s="232">
        <f t="shared" si="4"/>
        <v>-8.27911961078118</v>
      </c>
      <c r="S7" s="231">
        <v>227.66040000000001</v>
      </c>
      <c r="T7" s="231">
        <v>254.59004212187511</v>
      </c>
      <c r="U7" s="232">
        <f t="shared" si="5"/>
        <v>26.929642121875105</v>
      </c>
      <c r="V7" s="231">
        <v>243.98660000000004</v>
      </c>
      <c r="W7" s="231">
        <v>293.16808542500007</v>
      </c>
      <c r="X7" s="232">
        <f t="shared" si="6"/>
        <v>49.181485425000034</v>
      </c>
      <c r="Y7" s="231">
        <v>257.16789999999986</v>
      </c>
      <c r="Z7" s="231">
        <v>348.26894717448772</v>
      </c>
      <c r="AA7" s="232">
        <f t="shared" si="7"/>
        <v>91.10104717448786</v>
      </c>
      <c r="AB7" s="232">
        <f t="shared" si="8"/>
        <v>1561.3350500000001</v>
      </c>
      <c r="AC7" s="232">
        <f t="shared" si="8"/>
        <v>1647.8194563987329</v>
      </c>
      <c r="AD7" s="232">
        <f t="shared" si="8"/>
        <v>86.484406398732915</v>
      </c>
      <c r="AE7" s="232">
        <f t="shared" si="9"/>
        <v>71.39287748215402</v>
      </c>
      <c r="AF7" s="232">
        <f t="shared" ref="AF7:AF16" si="10">AD7*$AF$4</f>
        <v>15.091528916578893</v>
      </c>
    </row>
    <row r="8" spans="1:32">
      <c r="A8" s="11" t="s">
        <v>23</v>
      </c>
      <c r="B8" s="12" t="s">
        <v>24</v>
      </c>
      <c r="C8" s="5" t="s">
        <v>20</v>
      </c>
      <c r="D8" s="143">
        <v>130.9</v>
      </c>
      <c r="E8" s="143">
        <v>138.5033425</v>
      </c>
      <c r="F8" s="232">
        <f t="shared" si="0"/>
        <v>7.6033424999999966</v>
      </c>
      <c r="G8" s="143">
        <v>152.47</v>
      </c>
      <c r="H8" s="143">
        <v>146.38895209999998</v>
      </c>
      <c r="I8" s="232">
        <f t="shared" si="1"/>
        <v>-6.0810479000000157</v>
      </c>
      <c r="J8" s="231">
        <v>171.85</v>
      </c>
      <c r="K8" s="231">
        <v>153.32397920000003</v>
      </c>
      <c r="L8" s="232">
        <f t="shared" si="2"/>
        <v>-18.526020799999969</v>
      </c>
      <c r="M8" s="231">
        <v>224.82</v>
      </c>
      <c r="N8" s="231">
        <v>166.56749709999997</v>
      </c>
      <c r="O8" s="232">
        <f t="shared" si="3"/>
        <v>-58.252502900000025</v>
      </c>
      <c r="P8" s="231">
        <v>301.67</v>
      </c>
      <c r="Q8" s="231">
        <v>182.27183460000001</v>
      </c>
      <c r="R8" s="232">
        <f t="shared" si="4"/>
        <v>-119.39816540000001</v>
      </c>
      <c r="S8" s="231">
        <v>380.94</v>
      </c>
      <c r="T8" s="231">
        <v>220.13000000000002</v>
      </c>
      <c r="U8" s="232">
        <f t="shared" si="5"/>
        <v>-160.80999999999997</v>
      </c>
      <c r="V8" s="231">
        <v>443.94</v>
      </c>
      <c r="W8" s="231">
        <v>254.56462730000001</v>
      </c>
      <c r="X8" s="232">
        <f t="shared" si="6"/>
        <v>-189.37537269999999</v>
      </c>
      <c r="Y8" s="231">
        <v>514.16999999999996</v>
      </c>
      <c r="Z8" s="231">
        <v>283.99713494168401</v>
      </c>
      <c r="AA8" s="232">
        <f t="shared" si="7"/>
        <v>-230.17286505831595</v>
      </c>
      <c r="AB8" s="232">
        <f t="shared" si="8"/>
        <v>2320.7600000000002</v>
      </c>
      <c r="AC8" s="232">
        <f t="shared" si="8"/>
        <v>1545.747367741684</v>
      </c>
      <c r="AD8" s="232">
        <f t="shared" si="8"/>
        <v>-775.01263225831599</v>
      </c>
      <c r="AE8" s="232">
        <f t="shared" si="9"/>
        <v>-639.77292792923981</v>
      </c>
      <c r="AF8" s="232">
        <f t="shared" si="10"/>
        <v>-135.23970432907612</v>
      </c>
    </row>
    <row r="9" spans="1:32" s="18" customFormat="1">
      <c r="A9" s="11" t="s">
        <v>25</v>
      </c>
      <c r="B9" s="12" t="s">
        <v>26</v>
      </c>
      <c r="C9" s="5" t="s">
        <v>20</v>
      </c>
      <c r="D9" s="143"/>
      <c r="E9" s="143">
        <v>0.82060529999999998</v>
      </c>
      <c r="F9" s="232">
        <f>E9-D9</f>
        <v>0.82060529999999998</v>
      </c>
      <c r="G9" s="143"/>
      <c r="H9" s="143">
        <v>1.2806731</v>
      </c>
      <c r="I9" s="232">
        <f>H9-G9</f>
        <v>1.2806731</v>
      </c>
      <c r="J9" s="233">
        <v>0</v>
      </c>
      <c r="K9" s="233">
        <v>1.0429820999999999</v>
      </c>
      <c r="L9" s="232">
        <f t="shared" si="2"/>
        <v>1.0429820999999999</v>
      </c>
      <c r="M9" s="233">
        <v>1.5</v>
      </c>
      <c r="N9" s="233">
        <v>3.34</v>
      </c>
      <c r="O9" s="232">
        <f t="shared" si="3"/>
        <v>1.8399999999999999</v>
      </c>
      <c r="P9" s="233">
        <v>1.5</v>
      </c>
      <c r="Q9" s="233">
        <v>2.44</v>
      </c>
      <c r="R9" s="232">
        <f t="shared" si="4"/>
        <v>0.94</v>
      </c>
      <c r="S9" s="233">
        <v>1.5</v>
      </c>
      <c r="T9" s="233">
        <v>1.28</v>
      </c>
      <c r="U9" s="232">
        <f t="shared" si="5"/>
        <v>-0.21999999999999997</v>
      </c>
      <c r="V9" s="233">
        <v>1.5</v>
      </c>
      <c r="W9" s="233"/>
      <c r="X9" s="232">
        <f t="shared" si="6"/>
        <v>-1.5</v>
      </c>
      <c r="Y9" s="233">
        <v>1.5</v>
      </c>
      <c r="Z9" s="233">
        <v>0</v>
      </c>
      <c r="AA9" s="232">
        <f t="shared" si="7"/>
        <v>-1.5</v>
      </c>
      <c r="AB9" s="232">
        <f t="shared" si="8"/>
        <v>7.5</v>
      </c>
      <c r="AC9" s="232">
        <f t="shared" si="8"/>
        <v>10.204260499999998</v>
      </c>
      <c r="AD9" s="232">
        <f t="shared" si="8"/>
        <v>2.7042604999999993</v>
      </c>
      <c r="AE9" s="232">
        <f t="shared" si="9"/>
        <v>2.2323670427499995</v>
      </c>
      <c r="AF9" s="232">
        <f t="shared" si="10"/>
        <v>0.47189345724999987</v>
      </c>
    </row>
    <row r="10" spans="1:32" ht="24">
      <c r="A10" s="11" t="s">
        <v>27</v>
      </c>
      <c r="B10" s="12" t="s">
        <v>28</v>
      </c>
      <c r="C10" s="5" t="s">
        <v>20</v>
      </c>
      <c r="D10" s="143">
        <v>5</v>
      </c>
      <c r="E10" s="143">
        <v>0</v>
      </c>
      <c r="F10" s="232">
        <f>E10-D10</f>
        <v>-5</v>
      </c>
      <c r="G10" s="143">
        <v>5</v>
      </c>
      <c r="H10" s="143">
        <v>0</v>
      </c>
      <c r="I10" s="232">
        <f>H10-G10</f>
        <v>-5</v>
      </c>
      <c r="J10" s="233">
        <v>5</v>
      </c>
      <c r="K10" s="233">
        <v>0</v>
      </c>
      <c r="L10" s="232">
        <f t="shared" si="2"/>
        <v>-5</v>
      </c>
      <c r="M10" s="233">
        <v>5</v>
      </c>
      <c r="N10" s="233"/>
      <c r="O10" s="232">
        <f t="shared" si="3"/>
        <v>-5</v>
      </c>
      <c r="P10" s="233">
        <v>5</v>
      </c>
      <c r="Q10" s="233"/>
      <c r="R10" s="232">
        <f t="shared" si="4"/>
        <v>-5</v>
      </c>
      <c r="S10" s="233">
        <v>5</v>
      </c>
      <c r="T10" s="233"/>
      <c r="U10" s="232">
        <f t="shared" si="5"/>
        <v>-5</v>
      </c>
      <c r="V10" s="233">
        <v>5</v>
      </c>
      <c r="W10" s="233"/>
      <c r="X10" s="232">
        <f t="shared" si="6"/>
        <v>-5</v>
      </c>
      <c r="Y10" s="233">
        <v>5</v>
      </c>
      <c r="Z10" s="233">
        <v>0</v>
      </c>
      <c r="AA10" s="232">
        <f t="shared" si="7"/>
        <v>-5</v>
      </c>
      <c r="AB10" s="232">
        <f t="shared" si="8"/>
        <v>40</v>
      </c>
      <c r="AC10" s="232">
        <f t="shared" si="8"/>
        <v>0</v>
      </c>
      <c r="AD10" s="232">
        <f t="shared" si="8"/>
        <v>-40</v>
      </c>
      <c r="AE10" s="232">
        <f t="shared" si="9"/>
        <v>-33.020000000000003</v>
      </c>
      <c r="AF10" s="232">
        <f t="shared" si="10"/>
        <v>-6.9799999999999995</v>
      </c>
    </row>
    <row r="11" spans="1:32">
      <c r="A11" s="11" t="s">
        <v>29</v>
      </c>
      <c r="B11" s="12" t="s">
        <v>30</v>
      </c>
      <c r="C11" s="5" t="s">
        <v>20</v>
      </c>
      <c r="D11" s="143">
        <v>4.47</v>
      </c>
      <c r="E11" s="143">
        <v>1.6917252999999999</v>
      </c>
      <c r="F11" s="232">
        <f t="shared" si="0"/>
        <v>-2.7782746999999999</v>
      </c>
      <c r="G11" s="143"/>
      <c r="H11" s="143">
        <v>6.6101342999999995</v>
      </c>
      <c r="I11" s="232">
        <f t="shared" si="1"/>
        <v>6.6101342999999995</v>
      </c>
      <c r="J11" s="233">
        <v>0</v>
      </c>
      <c r="K11" s="233">
        <v>13.7774</v>
      </c>
      <c r="L11" s="232">
        <f>K11-J11</f>
        <v>13.7774</v>
      </c>
      <c r="M11" s="233"/>
      <c r="N11" s="233">
        <v>0</v>
      </c>
      <c r="O11" s="232">
        <f t="shared" si="3"/>
        <v>0</v>
      </c>
      <c r="P11" s="233"/>
      <c r="Q11" s="234">
        <v>0.5648894240000002</v>
      </c>
      <c r="R11" s="232">
        <f t="shared" si="4"/>
        <v>0.5648894240000002</v>
      </c>
      <c r="S11" s="233"/>
      <c r="T11" s="233">
        <v>1.9916205500000004</v>
      </c>
      <c r="U11" s="232">
        <f t="shared" si="5"/>
        <v>1.9916205500000004</v>
      </c>
      <c r="V11" s="233"/>
      <c r="W11" s="233">
        <v>16.410832124999999</v>
      </c>
      <c r="X11" s="232">
        <f t="shared" si="6"/>
        <v>16.410832124999999</v>
      </c>
      <c r="Y11" s="233"/>
      <c r="Z11" s="233">
        <v>0</v>
      </c>
      <c r="AA11" s="232">
        <f t="shared" si="7"/>
        <v>0</v>
      </c>
      <c r="AB11" s="232">
        <f t="shared" si="8"/>
        <v>4.47</v>
      </c>
      <c r="AC11" s="232">
        <f t="shared" si="8"/>
        <v>41.046601699</v>
      </c>
      <c r="AD11" s="232">
        <f t="shared" si="8"/>
        <v>36.576601699000001</v>
      </c>
      <c r="AE11" s="232">
        <f t="shared" si="9"/>
        <v>30.193984702524503</v>
      </c>
      <c r="AF11" s="232">
        <f t="shared" si="10"/>
        <v>6.3826169964755</v>
      </c>
    </row>
    <row r="12" spans="1:32">
      <c r="A12" s="20" t="s">
        <v>31</v>
      </c>
      <c r="B12" s="21" t="s">
        <v>32</v>
      </c>
      <c r="C12" s="22" t="s">
        <v>20</v>
      </c>
      <c r="D12" s="235">
        <f>SUM(D6:D11)</f>
        <v>644.1894125</v>
      </c>
      <c r="E12" s="235">
        <f>SUM(E6:E11)</f>
        <v>710.66698323632829</v>
      </c>
      <c r="F12" s="236">
        <f t="shared" si="0"/>
        <v>66.477570736328289</v>
      </c>
      <c r="G12" s="235">
        <f>SUM(G6:G11)</f>
        <v>693.52368750000005</v>
      </c>
      <c r="H12" s="235">
        <f>SUM(H6:H11)</f>
        <v>825.35883214697924</v>
      </c>
      <c r="I12" s="236">
        <f t="shared" si="1"/>
        <v>131.83514464697919</v>
      </c>
      <c r="J12" s="235">
        <f>SUM(J6:J11)</f>
        <v>743.65205000000003</v>
      </c>
      <c r="K12" s="235">
        <f>SUM(K6:K11)</f>
        <v>859.78213163390637</v>
      </c>
      <c r="L12" s="236">
        <f t="shared" si="2"/>
        <v>116.13008163390634</v>
      </c>
      <c r="M12" s="235">
        <f>SUM(M6:M11)</f>
        <v>1060.7553</v>
      </c>
      <c r="N12" s="235">
        <f>SUM(N6:N11)</f>
        <v>945.59635837093754</v>
      </c>
      <c r="O12" s="236">
        <f t="shared" si="3"/>
        <v>-115.1589416290625</v>
      </c>
      <c r="P12" s="235">
        <f>SUM(P6:P11)</f>
        <v>1233.6396999999999</v>
      </c>
      <c r="Q12" s="235">
        <f>SUM(Q6:Q11)</f>
        <v>1236.0473044132191</v>
      </c>
      <c r="R12" s="236">
        <f t="shared" si="4"/>
        <v>2.4076044132191328</v>
      </c>
      <c r="S12" s="235">
        <f>SUM(S6:S11)</f>
        <v>1399.7504000000001</v>
      </c>
      <c r="T12" s="235">
        <f>SUM(T6:T11)</f>
        <v>1583.9540085718754</v>
      </c>
      <c r="U12" s="236">
        <f t="shared" si="5"/>
        <v>184.20360857187529</v>
      </c>
      <c r="V12" s="235">
        <f>SUM(V6:V11)</f>
        <v>1563.5966000000001</v>
      </c>
      <c r="W12" s="235">
        <f>SUM(W6:W11)</f>
        <v>1670.5535448500002</v>
      </c>
      <c r="X12" s="236">
        <f t="shared" si="6"/>
        <v>106.95694485000013</v>
      </c>
      <c r="Y12" s="235">
        <f>SUM(Y6:Y11)</f>
        <v>1732.1779000000001</v>
      </c>
      <c r="Z12" s="235">
        <f>SUM(Z6:Z11)</f>
        <v>1854.2260821161717</v>
      </c>
      <c r="AA12" s="236">
        <f>Z12-Y12</f>
        <v>122.04818211617157</v>
      </c>
      <c r="AB12" s="236">
        <f t="shared" si="8"/>
        <v>9071.2850500000004</v>
      </c>
      <c r="AC12" s="236">
        <f t="shared" si="8"/>
        <v>9686.1852453394167</v>
      </c>
      <c r="AD12" s="236">
        <f t="shared" si="8"/>
        <v>614.90019533941745</v>
      </c>
      <c r="AE12" s="232">
        <f t="shared" si="9"/>
        <v>507.60011125268909</v>
      </c>
      <c r="AF12" s="232">
        <f t="shared" si="10"/>
        <v>107.30008408672833</v>
      </c>
    </row>
    <row r="13" spans="1:32">
      <c r="A13" s="11"/>
      <c r="B13" s="12"/>
      <c r="C13" s="5"/>
      <c r="D13" s="143"/>
      <c r="E13" s="143"/>
      <c r="F13" s="237"/>
      <c r="G13" s="143"/>
      <c r="H13" s="143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>
        <f t="shared" si="8"/>
        <v>0</v>
      </c>
      <c r="AC13" s="237">
        <f t="shared" si="8"/>
        <v>0</v>
      </c>
      <c r="AD13" s="237">
        <f t="shared" si="8"/>
        <v>0</v>
      </c>
      <c r="AE13" s="232">
        <f t="shared" si="9"/>
        <v>0</v>
      </c>
      <c r="AF13" s="232">
        <f t="shared" si="10"/>
        <v>0</v>
      </c>
    </row>
    <row r="14" spans="1:32">
      <c r="A14" s="11" t="s">
        <v>33</v>
      </c>
      <c r="B14" s="12" t="s">
        <v>34</v>
      </c>
      <c r="C14" s="5" t="s">
        <v>20</v>
      </c>
      <c r="D14" s="143">
        <v>644.1894125</v>
      </c>
      <c r="E14" s="143">
        <v>649.78941250000003</v>
      </c>
      <c r="F14" s="143">
        <f>F42</f>
        <v>5.6</v>
      </c>
      <c r="G14" s="143">
        <v>693.52368750000005</v>
      </c>
      <c r="H14" s="143">
        <v>690.11368750000008</v>
      </c>
      <c r="I14" s="143">
        <f>I42</f>
        <v>-3.4099999999999997</v>
      </c>
      <c r="J14" s="143">
        <v>743.65000000000009</v>
      </c>
      <c r="K14" s="143">
        <v>737.33</v>
      </c>
      <c r="L14" s="143">
        <f>L42</f>
        <v>-6.32</v>
      </c>
      <c r="M14" s="143">
        <v>1028.6547500000001</v>
      </c>
      <c r="N14" s="143">
        <v>1022.3847500000001</v>
      </c>
      <c r="O14" s="143">
        <f>O42</f>
        <v>-6.2700000000000005</v>
      </c>
      <c r="P14" s="143">
        <v>1201.4696999999999</v>
      </c>
      <c r="Q14" s="143">
        <v>1201.4696999999999</v>
      </c>
      <c r="R14" s="143">
        <f>R42</f>
        <v>0</v>
      </c>
      <c r="S14" s="143">
        <v>1367.5009500000001</v>
      </c>
      <c r="T14" s="143">
        <v>1367.5624240000002</v>
      </c>
      <c r="U14" s="143">
        <f>U42</f>
        <v>6.1474000000000001E-2</v>
      </c>
      <c r="V14" s="143">
        <v>1531.2755000000002</v>
      </c>
      <c r="W14" s="143">
        <v>1531.4483600000001</v>
      </c>
      <c r="X14" s="143">
        <f>X42</f>
        <v>0.17286000000000001</v>
      </c>
      <c r="Y14" s="143">
        <v>1699.7579000000001</v>
      </c>
      <c r="Z14" s="143">
        <v>1699.8335841000001</v>
      </c>
      <c r="AA14" s="143">
        <f>AA42</f>
        <v>7.5684100000000004E-2</v>
      </c>
      <c r="AB14" s="232">
        <f t="shared" si="8"/>
        <v>8910.0218999999997</v>
      </c>
      <c r="AC14" s="232">
        <f t="shared" si="8"/>
        <v>8899.931918100001</v>
      </c>
      <c r="AD14" s="232">
        <f t="shared" si="8"/>
        <v>-10.089981900000002</v>
      </c>
      <c r="AE14" s="232">
        <f t="shared" si="9"/>
        <v>-8.3292800584500011</v>
      </c>
      <c r="AF14" s="232">
        <f t="shared" si="10"/>
        <v>-1.7607018415500002</v>
      </c>
    </row>
    <row r="15" spans="1:32">
      <c r="A15" s="11" t="s">
        <v>35</v>
      </c>
      <c r="B15" s="12" t="s">
        <v>36</v>
      </c>
      <c r="C15" s="5" t="s">
        <v>20</v>
      </c>
      <c r="D15" s="143"/>
      <c r="E15" s="143">
        <v>30.96</v>
      </c>
      <c r="F15" s="232">
        <f>E15-D15</f>
        <v>30.96</v>
      </c>
      <c r="G15" s="143"/>
      <c r="H15" s="143">
        <v>24.24</v>
      </c>
      <c r="I15" s="232">
        <f>H15-G15</f>
        <v>24.24</v>
      </c>
      <c r="J15" s="233">
        <v>0</v>
      </c>
      <c r="K15" s="233">
        <v>23.39</v>
      </c>
      <c r="L15" s="232">
        <f t="shared" si="2"/>
        <v>23.39</v>
      </c>
      <c r="M15" s="233">
        <v>32.1</v>
      </c>
      <c r="N15" s="233">
        <v>40.360018693999997</v>
      </c>
      <c r="O15" s="232">
        <f>N15-M15</f>
        <v>8.2600186939999958</v>
      </c>
      <c r="P15" s="233">
        <v>32.17</v>
      </c>
      <c r="Q15" s="233">
        <v>43.35</v>
      </c>
      <c r="R15" s="232">
        <f>Q15-P15</f>
        <v>11.18</v>
      </c>
      <c r="S15" s="233">
        <v>32.25</v>
      </c>
      <c r="T15" s="233">
        <v>47.41</v>
      </c>
      <c r="U15" s="232">
        <f>T15-S15</f>
        <v>15.159999999999997</v>
      </c>
      <c r="V15" s="233">
        <v>32.32</v>
      </c>
      <c r="W15" s="233">
        <v>51.099999999999994</v>
      </c>
      <c r="X15" s="232">
        <f>W15-V15</f>
        <v>18.779999999999994</v>
      </c>
      <c r="Y15" s="233">
        <v>32.42</v>
      </c>
      <c r="Z15" s="233">
        <v>50.13</v>
      </c>
      <c r="AA15" s="232">
        <f>Z15-Y15</f>
        <v>17.71</v>
      </c>
      <c r="AB15" s="232">
        <f t="shared" si="8"/>
        <v>161.26</v>
      </c>
      <c r="AC15" s="232">
        <f t="shared" si="8"/>
        <v>310.94001869399995</v>
      </c>
      <c r="AD15" s="232">
        <f t="shared" si="8"/>
        <v>149.68001869400001</v>
      </c>
      <c r="AE15" s="232">
        <f t="shared" si="9"/>
        <v>123.56085543189701</v>
      </c>
      <c r="AF15" s="232">
        <f t="shared" si="10"/>
        <v>26.119163262103001</v>
      </c>
    </row>
    <row r="16" spans="1:32">
      <c r="A16" s="20" t="s">
        <v>37</v>
      </c>
      <c r="B16" s="21" t="s">
        <v>38</v>
      </c>
      <c r="C16" s="22" t="s">
        <v>20</v>
      </c>
      <c r="D16" s="235">
        <f>D14+D15</f>
        <v>644.1894125</v>
      </c>
      <c r="E16" s="235">
        <f>E14+E15</f>
        <v>680.74941250000006</v>
      </c>
      <c r="F16" s="236">
        <f>E16-D16</f>
        <v>36.560000000000059</v>
      </c>
      <c r="G16" s="235">
        <f>G14+G15</f>
        <v>693.52368750000005</v>
      </c>
      <c r="H16" s="235">
        <f>H14+H15</f>
        <v>714.35368750000009</v>
      </c>
      <c r="I16" s="236">
        <f>H16-G16</f>
        <v>20.830000000000041</v>
      </c>
      <c r="J16" s="235">
        <f>J14+J15</f>
        <v>743.65000000000009</v>
      </c>
      <c r="K16" s="235">
        <f>K14+K15</f>
        <v>760.72</v>
      </c>
      <c r="L16" s="236">
        <f t="shared" si="2"/>
        <v>17.069999999999936</v>
      </c>
      <c r="M16" s="235">
        <f>M14+M15</f>
        <v>1060.7547500000001</v>
      </c>
      <c r="N16" s="235">
        <f>N14+N15</f>
        <v>1062.744768694</v>
      </c>
      <c r="O16" s="236">
        <f>N16-M16</f>
        <v>1.9900186939999003</v>
      </c>
      <c r="P16" s="235">
        <f>P14+P15</f>
        <v>1233.6396999999999</v>
      </c>
      <c r="Q16" s="235">
        <f>Q14+Q15</f>
        <v>1244.8196999999998</v>
      </c>
      <c r="R16" s="236">
        <f>Q16-P16</f>
        <v>11.179999999999836</v>
      </c>
      <c r="S16" s="235">
        <f>S14+S15</f>
        <v>1399.7509500000001</v>
      </c>
      <c r="T16" s="235">
        <f>T14+T15</f>
        <v>1414.9724240000003</v>
      </c>
      <c r="U16" s="236">
        <f>T16-S16</f>
        <v>15.221474000000171</v>
      </c>
      <c r="V16" s="235">
        <f>V14+V15</f>
        <v>1563.5955000000001</v>
      </c>
      <c r="W16" s="235">
        <f>W14+W15</f>
        <v>1582.54836</v>
      </c>
      <c r="X16" s="236">
        <f>W16-V16</f>
        <v>18.952859999999873</v>
      </c>
      <c r="Y16" s="235">
        <f>SUM(Y14:Y15)</f>
        <v>1732.1779000000001</v>
      </c>
      <c r="Z16" s="235">
        <f>SUM(Z14:Z15)</f>
        <v>1749.9635841000002</v>
      </c>
      <c r="AA16" s="236">
        <f>Z16-Y16</f>
        <v>17.785684100000026</v>
      </c>
      <c r="AB16" s="236">
        <f t="shared" si="8"/>
        <v>9071.2819</v>
      </c>
      <c r="AC16" s="236">
        <f t="shared" si="8"/>
        <v>9210.8719367940012</v>
      </c>
      <c r="AD16" s="236">
        <f t="shared" si="8"/>
        <v>139.59003679399984</v>
      </c>
      <c r="AE16" s="232">
        <f t="shared" si="9"/>
        <v>115.23157537344687</v>
      </c>
      <c r="AF16" s="232">
        <f t="shared" si="10"/>
        <v>24.35846142055297</v>
      </c>
    </row>
    <row r="17" spans="1:32">
      <c r="A17" s="11"/>
      <c r="B17" s="12"/>
      <c r="C17" s="26"/>
      <c r="D17" s="238"/>
      <c r="E17" s="238"/>
      <c r="F17" s="237"/>
      <c r="G17" s="238"/>
      <c r="H17" s="238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>
        <f t="shared" si="8"/>
        <v>0</v>
      </c>
      <c r="AC17" s="237">
        <f t="shared" si="8"/>
        <v>0</v>
      </c>
      <c r="AD17" s="237">
        <f t="shared" si="8"/>
        <v>0</v>
      </c>
      <c r="AE17" s="239"/>
      <c r="AF17" s="239"/>
    </row>
    <row r="18" spans="1:32">
      <c r="A18" s="20" t="s">
        <v>39</v>
      </c>
      <c r="B18" s="21" t="s">
        <v>40</v>
      </c>
      <c r="C18" s="22" t="s">
        <v>20</v>
      </c>
      <c r="D18" s="235">
        <f>D12-D16</f>
        <v>0</v>
      </c>
      <c r="E18" s="235">
        <f>E12-E16</f>
        <v>29.91757073632823</v>
      </c>
      <c r="F18" s="236">
        <f>E18-D18</f>
        <v>29.91757073632823</v>
      </c>
      <c r="G18" s="235">
        <f>G12-G16</f>
        <v>0</v>
      </c>
      <c r="H18" s="235">
        <f>H12-H16</f>
        <v>111.00514464697915</v>
      </c>
      <c r="I18" s="236">
        <f>H18-G18</f>
        <v>111.00514464697915</v>
      </c>
      <c r="J18" s="235">
        <f>J12-J16</f>
        <v>2.0499999999401552E-3</v>
      </c>
      <c r="K18" s="235">
        <f>K12-K16</f>
        <v>99.062131633906347</v>
      </c>
      <c r="L18" s="236">
        <f t="shared" si="2"/>
        <v>99.060081633906407</v>
      </c>
      <c r="M18" s="235">
        <f>M12-M16</f>
        <v>5.4999999997562554E-4</v>
      </c>
      <c r="N18" s="235">
        <f>N12-N16</f>
        <v>-117.14841032306242</v>
      </c>
      <c r="O18" s="236">
        <f>N18-M18</f>
        <v>-117.1489603230624</v>
      </c>
      <c r="P18" s="235">
        <f>P12-P16</f>
        <v>0</v>
      </c>
      <c r="Q18" s="235">
        <f>Q12-Q16</f>
        <v>-8.7723955867807035</v>
      </c>
      <c r="R18" s="236">
        <f>Q18-P18</f>
        <v>-8.7723955867807035</v>
      </c>
      <c r="S18" s="235">
        <f>S12-S16</f>
        <v>-5.4999999997562554E-4</v>
      </c>
      <c r="T18" s="235">
        <f>T12-T16</f>
        <v>168.98158457187515</v>
      </c>
      <c r="U18" s="236">
        <f>T18-S18</f>
        <v>168.98213457187512</v>
      </c>
      <c r="V18" s="235">
        <f>V12-V16</f>
        <v>1.0999999999512511E-3</v>
      </c>
      <c r="W18" s="235">
        <f>W12-W16</f>
        <v>88.005184850000205</v>
      </c>
      <c r="X18" s="236">
        <f>W18-V18</f>
        <v>88.004084850000254</v>
      </c>
      <c r="Y18" s="235">
        <f>Y12-Y16</f>
        <v>0</v>
      </c>
      <c r="Z18" s="235">
        <f>Z12-Z16</f>
        <v>104.26249801617155</v>
      </c>
      <c r="AA18" s="236">
        <f>Z18-Y18</f>
        <v>104.26249801617155</v>
      </c>
      <c r="AB18" s="232">
        <f>D18+G18+J18+M18+P18+S18+V18+Y18</f>
        <v>3.1499999998914063E-3</v>
      </c>
      <c r="AC18" s="232">
        <f>E18+H18+K18+N18+Q18+T18+W18+Z18</f>
        <v>475.3133085454175</v>
      </c>
      <c r="AD18" s="232">
        <f>AD12-AD16</f>
        <v>475.31015854541761</v>
      </c>
      <c r="AE18" s="232">
        <f>AD18*$AE$4</f>
        <v>392.36853587924224</v>
      </c>
      <c r="AF18" s="232">
        <f>AF4*$AD$18</f>
        <v>82.941622666175363</v>
      </c>
    </row>
    <row r="19" spans="1:32">
      <c r="A19" s="11"/>
      <c r="B19" s="12" t="s">
        <v>41</v>
      </c>
      <c r="C19" s="26"/>
      <c r="D19" s="29"/>
      <c r="E19" s="29"/>
      <c r="F19" s="29"/>
      <c r="G19" s="29"/>
      <c r="H19" s="29"/>
      <c r="I19" s="29"/>
      <c r="J19" s="30"/>
      <c r="K19" s="30"/>
      <c r="L19" s="24"/>
      <c r="M19" s="30"/>
      <c r="N19" s="30"/>
      <c r="O19" s="24"/>
      <c r="P19" s="30"/>
      <c r="Q19" s="30"/>
      <c r="R19" s="24"/>
      <c r="S19" s="30"/>
      <c r="T19" s="30"/>
      <c r="U19" s="24"/>
      <c r="V19" s="30"/>
      <c r="W19" s="30"/>
      <c r="X19" s="24"/>
      <c r="Y19" s="30"/>
      <c r="Z19" s="30"/>
      <c r="AA19" s="24"/>
      <c r="AD19" s="28"/>
      <c r="AE19" s="28"/>
    </row>
    <row r="20" spans="1:32">
      <c r="A20" s="31"/>
      <c r="B20" s="32"/>
      <c r="C20" s="33"/>
      <c r="D20" s="34"/>
      <c r="E20" s="34"/>
      <c r="F20" s="34"/>
      <c r="G20" s="34"/>
      <c r="H20" s="34"/>
      <c r="I20" s="34"/>
      <c r="J20" s="35"/>
      <c r="K20" s="35"/>
      <c r="L20" s="36"/>
      <c r="M20" s="35"/>
      <c r="N20" s="35"/>
      <c r="O20" s="36"/>
      <c r="P20" s="35"/>
      <c r="Q20" s="35"/>
      <c r="R20" s="36"/>
      <c r="S20" s="35"/>
      <c r="T20" s="35"/>
      <c r="U20" s="36"/>
      <c r="V20" s="35"/>
      <c r="W20" s="35"/>
      <c r="X20" s="36"/>
      <c r="Y20" s="35"/>
      <c r="Z20" s="35"/>
      <c r="AA20" s="36"/>
      <c r="AE20" s="28"/>
    </row>
    <row r="21" spans="1:32" ht="32.25" customHeight="1">
      <c r="A21" s="11"/>
      <c r="B21" s="12" t="s">
        <v>109</v>
      </c>
      <c r="C21" s="26"/>
      <c r="D21" s="29"/>
      <c r="E21" s="29"/>
      <c r="F21" s="29"/>
      <c r="G21" s="29"/>
      <c r="H21" s="29"/>
      <c r="I21" s="29"/>
      <c r="J21" s="30"/>
      <c r="K21" s="30"/>
      <c r="L21" s="24"/>
      <c r="M21" s="30"/>
      <c r="N21" s="30"/>
      <c r="O21" s="24"/>
      <c r="P21" s="30"/>
      <c r="Q21" s="30"/>
      <c r="R21" s="24"/>
      <c r="S21" s="30"/>
      <c r="T21" s="30"/>
      <c r="U21" s="24"/>
      <c r="V21" s="30"/>
      <c r="W21" s="30"/>
      <c r="X21" s="24"/>
      <c r="Y21" s="30"/>
      <c r="Z21" s="30"/>
      <c r="AA21" s="24"/>
      <c r="AE21" s="28"/>
    </row>
    <row r="22" spans="1:32">
      <c r="A22" s="11"/>
      <c r="B22" s="12"/>
      <c r="C22" s="26"/>
      <c r="D22" s="29"/>
      <c r="E22" s="29"/>
      <c r="F22" s="29"/>
      <c r="G22" s="29"/>
      <c r="H22" s="29"/>
      <c r="I22" s="29"/>
      <c r="J22" s="30"/>
      <c r="K22" s="30"/>
      <c r="L22" s="24"/>
      <c r="M22" s="30"/>
      <c r="N22" s="30"/>
      <c r="O22" s="24"/>
      <c r="P22" s="30"/>
      <c r="Q22" s="30"/>
      <c r="R22" s="24"/>
      <c r="S22" s="30"/>
      <c r="T22" s="30"/>
      <c r="U22" s="24"/>
      <c r="V22" s="30"/>
      <c r="W22" s="30"/>
      <c r="X22" s="24"/>
      <c r="Y22" s="30"/>
      <c r="Z22" s="30"/>
      <c r="AA22" s="24"/>
    </row>
    <row r="23" spans="1:32" ht="24">
      <c r="A23" s="11"/>
      <c r="B23" s="12" t="s">
        <v>42</v>
      </c>
      <c r="C23" s="5" t="s">
        <v>20</v>
      </c>
      <c r="D23" s="37">
        <v>371.27</v>
      </c>
      <c r="E23" s="37">
        <f>SUM(E24:E26)</f>
        <v>456.47094510000005</v>
      </c>
      <c r="F23" s="232">
        <f t="shared" ref="F23" si="11">E23-D23</f>
        <v>85.200945100000069</v>
      </c>
      <c r="G23" s="38">
        <v>389.84000000000003</v>
      </c>
      <c r="H23" s="38">
        <f>SUM(H24:H26)</f>
        <v>552.10426800000005</v>
      </c>
      <c r="I23" s="232">
        <f t="shared" ref="I23" si="12">H23-G23</f>
        <v>162.26426800000002</v>
      </c>
      <c r="J23" s="39">
        <f>SUM(J24:J26)</f>
        <v>406.9</v>
      </c>
      <c r="K23" s="40">
        <f>SUM(K24:K26)</f>
        <v>545.96999999999991</v>
      </c>
      <c r="L23" s="232">
        <f t="shared" ref="L23" si="13">K23-J23</f>
        <v>139.06999999999994</v>
      </c>
      <c r="M23" s="39">
        <f>SUM(M24:M26)</f>
        <v>644.72</v>
      </c>
      <c r="N23" s="39">
        <f>SUM(N24:N26)</f>
        <v>602.58000000000004</v>
      </c>
      <c r="O23" s="232">
        <f t="shared" ref="O23" si="14">N23-M23</f>
        <v>-42.139999999999986</v>
      </c>
      <c r="P23" s="39">
        <f>SUM(P24:P26)</f>
        <v>716.32999999999993</v>
      </c>
      <c r="Q23" s="39">
        <f>SUM(Q24:Q26)</f>
        <v>849.91000000000008</v>
      </c>
      <c r="R23" s="232">
        <f t="shared" ref="R23" si="15">Q23-P23</f>
        <v>133.58000000000015</v>
      </c>
      <c r="S23" s="39">
        <f>SUM(S24:S26)</f>
        <v>784.65000000000009</v>
      </c>
      <c r="T23" s="39">
        <f>SUM(T24:T26)</f>
        <v>1105.9623459000002</v>
      </c>
      <c r="U23" s="232">
        <f t="shared" ref="U23" si="16">T23-S23</f>
        <v>321.31234590000008</v>
      </c>
      <c r="V23" s="39">
        <f>SUM(V24:V26)</f>
        <v>869.17000000000007</v>
      </c>
      <c r="W23" s="39">
        <f>SUM(W24:W26)</f>
        <v>1106.4100000000001</v>
      </c>
      <c r="X23" s="232">
        <f t="shared" ref="X23" si="17">W23-V23</f>
        <v>237.24</v>
      </c>
      <c r="Y23" s="39">
        <v>954.34000000000015</v>
      </c>
      <c r="Z23" s="39">
        <v>1221.96</v>
      </c>
      <c r="AA23" s="232">
        <f t="shared" ref="AA23" si="18">Z23-Y23</f>
        <v>267.61999999999989</v>
      </c>
    </row>
    <row r="24" spans="1:32">
      <c r="A24" s="11"/>
      <c r="B24" s="41" t="s">
        <v>43</v>
      </c>
      <c r="C24" s="26" t="s">
        <v>20</v>
      </c>
      <c r="D24" s="42">
        <v>371.27</v>
      </c>
      <c r="E24" s="43">
        <v>307.63927610000002</v>
      </c>
      <c r="F24" s="42">
        <v>-64.119999999999948</v>
      </c>
      <c r="G24" s="29">
        <v>389.84000000000003</v>
      </c>
      <c r="H24" s="29">
        <f>423.9942697-35.2936364</f>
        <v>388.70063330000005</v>
      </c>
      <c r="I24" s="29">
        <v>-1.32000000000005</v>
      </c>
      <c r="J24" s="44">
        <f>437.64-30.74</f>
        <v>406.9</v>
      </c>
      <c r="K24" s="44">
        <f>391.21-33.28</f>
        <v>357.92999999999995</v>
      </c>
      <c r="L24" s="15">
        <f>K24-J24</f>
        <v>-48.970000000000027</v>
      </c>
      <c r="M24" s="44">
        <f>715.26-70.54</f>
        <v>644.72</v>
      </c>
      <c r="N24" s="44">
        <f>412.32-32.26</f>
        <v>380.06</v>
      </c>
      <c r="O24" s="15">
        <f>N24-M24</f>
        <v>-264.66000000000003</v>
      </c>
      <c r="P24" s="44">
        <f>785.56-69.23</f>
        <v>716.32999999999993</v>
      </c>
      <c r="Q24" s="44">
        <f>674.44-49.26</f>
        <v>625.18000000000006</v>
      </c>
      <c r="R24" s="15">
        <f>Q24-P24</f>
        <v>-91.149999999999864</v>
      </c>
      <c r="S24" s="44">
        <f>863.59-78.94</f>
        <v>784.65000000000009</v>
      </c>
      <c r="T24" s="44">
        <f>880.45-49.93</f>
        <v>830.5200000000001</v>
      </c>
      <c r="U24" s="15">
        <f>T24-S24</f>
        <v>45.870000000000005</v>
      </c>
      <c r="V24" s="44">
        <f>950.21-81.04</f>
        <v>869.17000000000007</v>
      </c>
      <c r="W24" s="44">
        <f>824.85-58.7</f>
        <v>766.15</v>
      </c>
      <c r="X24" s="15">
        <f>W24-V24</f>
        <v>-103.0200000000001</v>
      </c>
      <c r="Y24" s="304">
        <v>954.34000000000015</v>
      </c>
      <c r="Z24" s="17">
        <v>852.72</v>
      </c>
      <c r="AA24" s="15">
        <v>-101.62000000000012</v>
      </c>
    </row>
    <row r="25" spans="1:32">
      <c r="A25" s="11"/>
      <c r="B25" s="41" t="s">
        <v>44</v>
      </c>
      <c r="C25" s="26" t="s">
        <v>20</v>
      </c>
      <c r="D25" s="42"/>
      <c r="E25" s="43">
        <f>148.831669-E26</f>
        <v>68.939681800000002</v>
      </c>
      <c r="F25" s="42">
        <v>68.730000000000018</v>
      </c>
      <c r="G25" s="29"/>
      <c r="H25" s="29">
        <f>163.4036347-H26</f>
        <v>60.668319099999991</v>
      </c>
      <c r="I25" s="29">
        <v>60.54</v>
      </c>
      <c r="J25" s="44"/>
      <c r="K25" s="45">
        <f>77.62-5.87</f>
        <v>71.75</v>
      </c>
      <c r="L25" s="15">
        <f>K25-J25</f>
        <v>71.75</v>
      </c>
      <c r="M25" s="44"/>
      <c r="N25" s="44">
        <f>76.87-5.69</f>
        <v>71.180000000000007</v>
      </c>
      <c r="O25" s="15">
        <f>N25-M25</f>
        <v>71.180000000000007</v>
      </c>
      <c r="P25" s="44"/>
      <c r="Q25" s="44">
        <f>95.62-8.69</f>
        <v>86.93</v>
      </c>
      <c r="R25" s="15">
        <f>Q25-P25</f>
        <v>86.93</v>
      </c>
      <c r="S25" s="44"/>
      <c r="T25" s="44">
        <f>113.2625909+0.105755</f>
        <v>113.36834590000001</v>
      </c>
      <c r="U25" s="15">
        <f>T25-S25</f>
        <v>113.36834590000001</v>
      </c>
      <c r="V25" s="44"/>
      <c r="W25" s="44">
        <f>130.17-10.35</f>
        <v>119.82</v>
      </c>
      <c r="X25" s="15">
        <f>W25-V25</f>
        <v>119.82</v>
      </c>
      <c r="Y25" s="305"/>
      <c r="Z25" s="17">
        <v>101.18</v>
      </c>
      <c r="AA25" s="15">
        <v>101.18</v>
      </c>
    </row>
    <row r="26" spans="1:32">
      <c r="A26" s="11"/>
      <c r="B26" s="41" t="s">
        <v>45</v>
      </c>
      <c r="C26" s="26" t="s">
        <v>20</v>
      </c>
      <c r="D26" s="42"/>
      <c r="E26" s="43">
        <v>79.891987200000003</v>
      </c>
      <c r="F26" s="42">
        <v>79.569999999999993</v>
      </c>
      <c r="G26" s="29"/>
      <c r="H26" s="29">
        <v>102.73531560000001</v>
      </c>
      <c r="I26" s="29">
        <v>102.65</v>
      </c>
      <c r="J26" s="44"/>
      <c r="K26" s="45">
        <f>116.29-K10</f>
        <v>116.29</v>
      </c>
      <c r="L26" s="15">
        <f>K26-J26</f>
        <v>116.29</v>
      </c>
      <c r="M26" s="44"/>
      <c r="N26" s="44">
        <f>151.34-N10</f>
        <v>151.34</v>
      </c>
      <c r="O26" s="15">
        <f>N26-M26</f>
        <v>151.34</v>
      </c>
      <c r="P26" s="44"/>
      <c r="Q26" s="44">
        <f>137.8-Q10</f>
        <v>137.80000000000001</v>
      </c>
      <c r="R26" s="15">
        <f>Q26-P26</f>
        <v>137.80000000000001</v>
      </c>
      <c r="S26" s="44"/>
      <c r="T26" s="44">
        <f>162.074-T10</f>
        <v>162.07400000000001</v>
      </c>
      <c r="U26" s="15">
        <f>T26-S26</f>
        <v>162.07400000000001</v>
      </c>
      <c r="V26" s="44"/>
      <c r="W26" s="44">
        <f>220.44-W10</f>
        <v>220.44</v>
      </c>
      <c r="X26" s="15">
        <f>W26-V26</f>
        <v>220.44</v>
      </c>
      <c r="Y26" s="306"/>
      <c r="Z26" s="17">
        <v>268.06</v>
      </c>
      <c r="AA26" s="15">
        <v>268.06</v>
      </c>
    </row>
    <row r="27" spans="1:32">
      <c r="A27" s="11"/>
      <c r="B27" s="12"/>
      <c r="C27" s="26"/>
      <c r="D27" s="42"/>
      <c r="E27" s="42"/>
      <c r="F27" s="42"/>
      <c r="G27" s="29"/>
      <c r="H27" s="29"/>
      <c r="I27" s="29"/>
      <c r="J27" s="30"/>
      <c r="K27" s="30"/>
      <c r="L27" s="24"/>
      <c r="M27" s="30"/>
      <c r="N27" s="30"/>
      <c r="O27" s="24"/>
      <c r="P27" s="30"/>
      <c r="Q27" s="30"/>
      <c r="R27" s="24"/>
      <c r="S27" s="30"/>
      <c r="T27" s="30"/>
      <c r="U27" s="24"/>
      <c r="V27" s="30"/>
      <c r="W27" s="30"/>
      <c r="X27" s="24"/>
      <c r="Y27" s="30"/>
      <c r="Z27" s="30"/>
      <c r="AA27" s="24"/>
    </row>
    <row r="28" spans="1:32">
      <c r="A28" s="11"/>
      <c r="B28" s="12" t="s">
        <v>22</v>
      </c>
      <c r="C28" s="5" t="s">
        <v>20</v>
      </c>
      <c r="D28" s="37">
        <v>132.54941250000002</v>
      </c>
      <c r="E28" s="37">
        <f>E71*0.75*E37+E71*0.25*E38</f>
        <v>113.18036503632811</v>
      </c>
      <c r="F28" s="37">
        <f>E28-D28</f>
        <v>-19.369047463671905</v>
      </c>
      <c r="G28" s="38">
        <v>146.21368749999999</v>
      </c>
      <c r="H28" s="38">
        <f>H71*0.75*H37+H71*0.25*H38</f>
        <v>118.97480464697921</v>
      </c>
      <c r="I28" s="37">
        <f>H28-G28</f>
        <v>-27.238882853020783</v>
      </c>
      <c r="J28" s="40">
        <f>J34*J39</f>
        <v>159.884625</v>
      </c>
      <c r="K28" s="37">
        <f>K71*0.75*K37+K71*0.25*K38</f>
        <v>145.6677703339063</v>
      </c>
      <c r="L28" s="37">
        <f>K28-J28</f>
        <v>-14.216854666093695</v>
      </c>
      <c r="M28" s="39">
        <f>M34*M39</f>
        <v>184.71530000000001</v>
      </c>
      <c r="N28" s="46">
        <f>N71*0.75*N37+N71*0.25*N38</f>
        <v>173.10886127093752</v>
      </c>
      <c r="O28" s="37">
        <f>N28-M28</f>
        <v>-11.606438729062489</v>
      </c>
      <c r="P28" s="39">
        <f>P34*P39</f>
        <v>209.13970000000003</v>
      </c>
      <c r="Q28" s="46">
        <f>Q71*0.75*Q37+Q71*0.25*Q38</f>
        <v>200.86058038921885</v>
      </c>
      <c r="R28" s="37">
        <f>Q28-P28</f>
        <v>-8.27911961078118</v>
      </c>
      <c r="S28" s="39">
        <f>S34*S39</f>
        <v>227.66040000000001</v>
      </c>
      <c r="T28" s="46">
        <f>T71*0.75*T37+T71*0.25*T38</f>
        <v>254.59004212187511</v>
      </c>
      <c r="U28" s="37">
        <f>T28-S28</f>
        <v>26.929642121875105</v>
      </c>
      <c r="V28" s="39">
        <f>V34*V39</f>
        <v>243.98660000000004</v>
      </c>
      <c r="W28" s="46">
        <f>W71*0.75*W37+W71*0.25*W38</f>
        <v>293.16808542500007</v>
      </c>
      <c r="X28" s="37">
        <f>W28-V28</f>
        <v>49.181485425000034</v>
      </c>
      <c r="Y28" s="39">
        <v>257.16789999999986</v>
      </c>
      <c r="Z28" s="46">
        <f>Z71*0.75*Z37+Z71*0.25*Z38</f>
        <v>348.26894717448772</v>
      </c>
      <c r="AA28" s="37">
        <f>Z28-Y28</f>
        <v>91.10104717448786</v>
      </c>
    </row>
    <row r="29" spans="1:32">
      <c r="A29" s="11"/>
      <c r="B29" s="12"/>
      <c r="C29" s="26"/>
      <c r="D29" s="42"/>
      <c r="E29" s="42"/>
      <c r="F29" s="42"/>
      <c r="G29" s="29"/>
      <c r="H29" s="29"/>
      <c r="I29" s="29"/>
      <c r="J29" s="30"/>
      <c r="K29" s="30"/>
      <c r="L29" s="24"/>
      <c r="M29" s="30"/>
      <c r="N29" s="30"/>
      <c r="O29" s="24"/>
      <c r="P29" s="30"/>
      <c r="Q29" s="30"/>
      <c r="R29" s="24"/>
      <c r="S29" s="30"/>
      <c r="T29" s="30"/>
      <c r="U29" s="24"/>
      <c r="V29" s="30"/>
      <c r="W29" s="30"/>
      <c r="X29" s="24"/>
      <c r="Y29" s="30"/>
      <c r="Z29" s="30"/>
      <c r="AA29" s="24"/>
    </row>
    <row r="30" spans="1:32">
      <c r="A30" s="11"/>
      <c r="B30" s="41"/>
      <c r="C30" s="26"/>
      <c r="D30" s="42"/>
      <c r="E30" s="42"/>
      <c r="F30" s="42"/>
      <c r="G30" s="29"/>
      <c r="H30" s="29"/>
      <c r="I30" s="29"/>
      <c r="J30" s="30"/>
      <c r="K30" s="30"/>
      <c r="L30" s="24"/>
      <c r="M30" s="30"/>
      <c r="N30" s="30"/>
      <c r="O30" s="24"/>
      <c r="P30" s="30"/>
      <c r="Q30" s="30"/>
      <c r="R30" s="24"/>
      <c r="S30" s="30"/>
      <c r="T30" s="30"/>
      <c r="U30" s="24"/>
      <c r="V30" s="30"/>
      <c r="W30" s="30"/>
      <c r="X30" s="24"/>
      <c r="Y30" s="30"/>
      <c r="Z30" s="30"/>
      <c r="AA30" s="24"/>
    </row>
    <row r="31" spans="1:32">
      <c r="A31" s="11"/>
      <c r="B31" s="12" t="s">
        <v>24</v>
      </c>
      <c r="C31" s="5" t="s">
        <v>20</v>
      </c>
      <c r="D31" s="37">
        <v>130.9</v>
      </c>
      <c r="E31" s="48">
        <f>202.4913918-63.9880493</f>
        <v>138.5033425</v>
      </c>
      <c r="F31" s="37">
        <f>E31-D31</f>
        <v>7.6033424999999966</v>
      </c>
      <c r="G31" s="38">
        <v>152.47</v>
      </c>
      <c r="H31" s="49">
        <f>233.6994867-87.3105346</f>
        <v>146.38895209999998</v>
      </c>
      <c r="I31" s="37">
        <f>H31-G31</f>
        <v>-6.0810479000000157</v>
      </c>
      <c r="J31" s="17">
        <v>171.85</v>
      </c>
      <c r="K31" s="27">
        <f>260.9270407-107.2770812-0.3259803</f>
        <v>153.32397920000003</v>
      </c>
      <c r="L31" s="37">
        <f>K31-J31</f>
        <v>-18.526020799999969</v>
      </c>
      <c r="M31" s="17">
        <v>224.82</v>
      </c>
      <c r="N31" s="27">
        <f>295.2959764-128.7284793</f>
        <v>166.56749709999997</v>
      </c>
      <c r="O31" s="37">
        <f>N31-M31</f>
        <v>-58.252502900000025</v>
      </c>
      <c r="P31" s="17">
        <v>301.67</v>
      </c>
      <c r="Q31" s="24">
        <f>326.326234-144.0543994</f>
        <v>182.27183460000001</v>
      </c>
      <c r="R31" s="37">
        <f>Q31-P31</f>
        <v>-119.39816540000001</v>
      </c>
      <c r="S31" s="17">
        <v>380.94</v>
      </c>
      <c r="T31" s="17">
        <f>390.35-170.22</f>
        <v>220.13000000000002</v>
      </c>
      <c r="U31" s="37">
        <f>T31-S31</f>
        <v>-160.80999999999997</v>
      </c>
      <c r="V31" s="17">
        <v>443.94</v>
      </c>
      <c r="W31" s="24">
        <f>452.7902075-198.2255802</f>
        <v>254.56462730000001</v>
      </c>
      <c r="X31" s="15">
        <f>W31-V31</f>
        <v>-189.37537269999999</v>
      </c>
      <c r="Y31" s="17">
        <v>514.16999999999996</v>
      </c>
      <c r="Z31" s="17">
        <v>283.99713494168401</v>
      </c>
      <c r="AA31" s="37">
        <f>Z31-Y31</f>
        <v>-230.17286505831595</v>
      </c>
    </row>
    <row r="32" spans="1:32">
      <c r="A32" s="11"/>
      <c r="B32" s="12"/>
      <c r="C32" s="5"/>
      <c r="D32" s="37"/>
      <c r="E32" s="48"/>
      <c r="F32" s="37"/>
      <c r="G32" s="38"/>
      <c r="H32" s="38"/>
      <c r="I32" s="38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>
      <c r="A33" s="11"/>
      <c r="B33" s="12"/>
      <c r="C33" s="26"/>
      <c r="D33" s="42"/>
      <c r="E33" s="42"/>
      <c r="F33" s="42"/>
      <c r="G33" s="29"/>
      <c r="H33" s="29"/>
      <c r="I33" s="29"/>
      <c r="J33" s="30"/>
      <c r="K33" s="30"/>
      <c r="L33" s="24"/>
      <c r="M33" s="30"/>
      <c r="N33" s="30"/>
      <c r="O33" s="24"/>
      <c r="P33" s="30"/>
      <c r="Q33" s="30"/>
      <c r="R33" s="24"/>
      <c r="S33" s="30"/>
      <c r="T33" s="30"/>
      <c r="U33" s="24"/>
      <c r="V33" s="30"/>
      <c r="W33" s="30"/>
      <c r="X33" s="24"/>
      <c r="Y33" s="30"/>
      <c r="Z33" s="30"/>
      <c r="AA33" s="24"/>
    </row>
    <row r="34" spans="1:27">
      <c r="A34" s="11"/>
      <c r="B34" s="12" t="s">
        <v>46</v>
      </c>
      <c r="C34" s="5" t="s">
        <v>20</v>
      </c>
      <c r="D34" s="37">
        <v>1293.1600000000001</v>
      </c>
      <c r="E34" s="37">
        <f t="shared" ref="E34" si="19">E71</f>
        <v>978.85721112499994</v>
      </c>
      <c r="F34" s="15">
        <f>E34-D34</f>
        <v>-314.30278887500015</v>
      </c>
      <c r="G34" s="37">
        <v>1426.47</v>
      </c>
      <c r="H34" s="37">
        <f t="shared" ref="H34" si="20">H71</f>
        <v>1028.9712834333336</v>
      </c>
      <c r="I34" s="15">
        <f>H34-G34</f>
        <v>-397.49871656666642</v>
      </c>
      <c r="J34" s="37">
        <v>1559.85</v>
      </c>
      <c r="K34" s="37">
        <f t="shared" ref="K34" si="21">K71</f>
        <v>1259.8293650500004</v>
      </c>
      <c r="L34" s="15">
        <f>K34-J34</f>
        <v>-300.02063494999948</v>
      </c>
      <c r="M34" s="37">
        <v>1679.23</v>
      </c>
      <c r="N34" s="37">
        <f t="shared" ref="N34" si="22">N71</f>
        <v>1497.1577191000003</v>
      </c>
      <c r="O34" s="15">
        <f>N34-M34</f>
        <v>-182.07228089999967</v>
      </c>
      <c r="P34" s="37">
        <v>1901.27</v>
      </c>
      <c r="Q34" s="37">
        <f t="shared" ref="Q34" si="23">Q71</f>
        <v>1737.1725871500007</v>
      </c>
      <c r="R34" s="15">
        <f>Q34-P34</f>
        <v>-164.09741284999927</v>
      </c>
      <c r="S34" s="37">
        <v>2069.64</v>
      </c>
      <c r="T34" s="37">
        <f t="shared" ref="T34" si="24">T71</f>
        <v>2036.7203369750009</v>
      </c>
      <c r="U34" s="15">
        <f>T34-S34</f>
        <v>-32.919663024998954</v>
      </c>
      <c r="V34" s="37">
        <v>2218.06</v>
      </c>
      <c r="W34" s="37">
        <f t="shared" ref="W34" si="25">W71</f>
        <v>2345.3446834000006</v>
      </c>
      <c r="X34" s="15">
        <f>W34-V34</f>
        <v>127.28468340000063</v>
      </c>
      <c r="Y34" s="37">
        <v>2337.89</v>
      </c>
      <c r="Z34" s="37">
        <f t="shared" ref="Z34" si="26">Z71</f>
        <v>2667.7054551856581</v>
      </c>
      <c r="AA34" s="15">
        <v>330.55962430499949</v>
      </c>
    </row>
    <row r="35" spans="1:27">
      <c r="A35" s="11"/>
      <c r="B35" s="41" t="s">
        <v>47</v>
      </c>
      <c r="C35" s="26" t="s">
        <v>20</v>
      </c>
      <c r="D35" s="42">
        <f>D70</f>
        <v>60.524999999999977</v>
      </c>
      <c r="E35" s="42">
        <f t="shared" ref="E35" si="27">E70</f>
        <v>-67.859079099999988</v>
      </c>
      <c r="F35" s="15">
        <f>E35-D35</f>
        <v>-128.38407909999995</v>
      </c>
      <c r="G35" s="42">
        <f t="shared" ref="G35:H35" si="28">G70</f>
        <v>20.424999999999997</v>
      </c>
      <c r="H35" s="42">
        <f t="shared" si="28"/>
        <v>108.68053620000003</v>
      </c>
      <c r="I35" s="15">
        <f>H35-G35</f>
        <v>88.255536200000037</v>
      </c>
      <c r="J35" s="42">
        <f t="shared" ref="J35:K35" si="29">J70</f>
        <v>8.2500000000000142</v>
      </c>
      <c r="K35" s="42">
        <f t="shared" si="29"/>
        <v>122.88956774999997</v>
      </c>
      <c r="L35" s="15">
        <f>K35-J35</f>
        <v>114.63956774999996</v>
      </c>
      <c r="M35" s="42">
        <f t="shared" ref="M35:N35" si="30">M70</f>
        <v>124.91500000000028</v>
      </c>
      <c r="N35" s="42">
        <f t="shared" si="30"/>
        <v>109.82128630000005</v>
      </c>
      <c r="O35" s="15">
        <f>N35-M35</f>
        <v>-15.093713700000222</v>
      </c>
      <c r="P35" s="42">
        <f t="shared" ref="P35:Q35" si="31">P70</f>
        <v>91.269999999999897</v>
      </c>
      <c r="Q35" s="42">
        <f t="shared" si="31"/>
        <v>107.91608174999999</v>
      </c>
      <c r="R35" s="15">
        <f>Q35-P35</f>
        <v>16.646081750000093</v>
      </c>
      <c r="S35" s="42">
        <f t="shared" ref="S35:T35" si="32">S70</f>
        <v>70.594999999999771</v>
      </c>
      <c r="T35" s="42">
        <f t="shared" si="32"/>
        <v>170.22813924999997</v>
      </c>
      <c r="U35" s="15">
        <f>T35-S35</f>
        <v>99.633139250000198</v>
      </c>
      <c r="V35" s="42">
        <f t="shared" ref="V35:W35" si="33">V70</f>
        <v>70.349999999999881</v>
      </c>
      <c r="W35" s="42">
        <f t="shared" si="33"/>
        <v>140.99973599999998</v>
      </c>
      <c r="X35" s="15">
        <f>W35-V35</f>
        <v>70.649736000000104</v>
      </c>
      <c r="Y35" s="42">
        <f t="shared" ref="Y35:Z35" si="34">Y70</f>
        <v>41.220000000000027</v>
      </c>
      <c r="Z35" s="42">
        <f t="shared" si="34"/>
        <v>170.35103578565781</v>
      </c>
      <c r="AA35" s="15">
        <v>129.31195964099999</v>
      </c>
    </row>
    <row r="36" spans="1:27">
      <c r="A36" s="11"/>
      <c r="B36" s="12"/>
      <c r="C36" s="26"/>
      <c r="D36" s="42"/>
      <c r="E36" s="42"/>
      <c r="F36" s="42"/>
      <c r="G36" s="29"/>
      <c r="H36" s="29"/>
      <c r="I36" s="29"/>
      <c r="J36" s="30"/>
      <c r="K36" s="30"/>
      <c r="L36" s="24"/>
      <c r="M36" s="30"/>
      <c r="N36" s="30"/>
      <c r="O36" s="24"/>
      <c r="P36" s="30"/>
      <c r="Q36" s="30"/>
      <c r="R36" s="24"/>
      <c r="S36" s="30"/>
      <c r="T36" s="30"/>
      <c r="U36" s="24"/>
      <c r="V36" s="30"/>
      <c r="W36" s="30"/>
      <c r="X36" s="24"/>
      <c r="Y36" s="30"/>
      <c r="Z36" s="30"/>
      <c r="AA36" s="24"/>
    </row>
    <row r="37" spans="1:27">
      <c r="A37" s="11"/>
      <c r="B37" s="41" t="s">
        <v>48</v>
      </c>
      <c r="C37" s="26" t="s">
        <v>49</v>
      </c>
      <c r="D37" s="50">
        <v>0.09</v>
      </c>
      <c r="E37" s="50">
        <v>0.1075</v>
      </c>
      <c r="F37" s="51">
        <f>E37-D37</f>
        <v>1.7500000000000002E-2</v>
      </c>
      <c r="G37" s="52">
        <v>0.09</v>
      </c>
      <c r="H37" s="52">
        <v>0.1075</v>
      </c>
      <c r="I37" s="53">
        <f>H37-G37</f>
        <v>1.7500000000000002E-2</v>
      </c>
      <c r="J37" s="52">
        <v>0.09</v>
      </c>
      <c r="K37" s="52">
        <v>0.1075</v>
      </c>
      <c r="L37" s="53">
        <f>K37-J37</f>
        <v>1.7500000000000002E-2</v>
      </c>
      <c r="M37" s="52">
        <v>0.1</v>
      </c>
      <c r="N37" s="52">
        <v>0.1075</v>
      </c>
      <c r="O37" s="53">
        <f>N37-M37</f>
        <v>7.4999999999999928E-3</v>
      </c>
      <c r="P37" s="52">
        <v>0.1</v>
      </c>
      <c r="Q37" s="52">
        <v>0.1075</v>
      </c>
      <c r="R37" s="53">
        <f>Q37-P37</f>
        <v>7.4999999999999928E-3</v>
      </c>
      <c r="S37" s="52">
        <v>0.1</v>
      </c>
      <c r="T37" s="52">
        <v>0.12</v>
      </c>
      <c r="U37" s="53">
        <f>T37-S37</f>
        <v>1.999999999999999E-2</v>
      </c>
      <c r="V37" s="52">
        <v>0.1</v>
      </c>
      <c r="W37" s="52">
        <v>0.12</v>
      </c>
      <c r="X37" s="53">
        <f>W37-V37</f>
        <v>1.999999999999999E-2</v>
      </c>
      <c r="Y37" s="52">
        <v>0.1</v>
      </c>
      <c r="Z37" s="52">
        <v>0.12740000000000001</v>
      </c>
      <c r="AA37" s="53">
        <v>2.7371725705710614E-2</v>
      </c>
    </row>
    <row r="38" spans="1:27">
      <c r="A38" s="11"/>
      <c r="B38" s="41" t="s">
        <v>50</v>
      </c>
      <c r="C38" s="26" t="s">
        <v>49</v>
      </c>
      <c r="D38" s="50">
        <v>0.14000000000000001</v>
      </c>
      <c r="E38" s="50">
        <v>0.14000000000000001</v>
      </c>
      <c r="F38" s="51">
        <f>E38-D38</f>
        <v>0</v>
      </c>
      <c r="G38" s="52">
        <v>0.14000000000000001</v>
      </c>
      <c r="H38" s="52">
        <v>0.14000000000000001</v>
      </c>
      <c r="I38" s="53">
        <f>H38-G38</f>
        <v>0</v>
      </c>
      <c r="J38" s="52">
        <v>0.14000000000000001</v>
      </c>
      <c r="K38" s="52">
        <v>0.14000000000000001</v>
      </c>
      <c r="L38" s="53">
        <f>K38-J38</f>
        <v>0</v>
      </c>
      <c r="M38" s="52">
        <v>0.14000000000000001</v>
      </c>
      <c r="N38" s="52">
        <v>0.14000000000000001</v>
      </c>
      <c r="O38" s="53">
        <f>N38-M38</f>
        <v>0</v>
      </c>
      <c r="P38" s="52">
        <v>0.14000000000000001</v>
      </c>
      <c r="Q38" s="52">
        <v>0.14000000000000001</v>
      </c>
      <c r="R38" s="53">
        <f>Q38-P38</f>
        <v>0</v>
      </c>
      <c r="S38" s="52">
        <v>0.14000000000000001</v>
      </c>
      <c r="T38" s="52">
        <v>0.14000000000000001</v>
      </c>
      <c r="U38" s="53">
        <f>T38-S38</f>
        <v>0</v>
      </c>
      <c r="V38" s="52">
        <v>0.14000000000000001</v>
      </c>
      <c r="W38" s="52">
        <v>0.14000000000000001</v>
      </c>
      <c r="X38" s="53">
        <f>W38-V38</f>
        <v>0</v>
      </c>
      <c r="Y38" s="52">
        <v>0.14000000000000001</v>
      </c>
      <c r="Z38" s="52">
        <v>0.14000000000000001</v>
      </c>
      <c r="AA38" s="53">
        <v>0</v>
      </c>
    </row>
    <row r="39" spans="1:27">
      <c r="A39" s="11"/>
      <c r="B39" s="12" t="s">
        <v>51</v>
      </c>
      <c r="C39" s="5" t="s">
        <v>49</v>
      </c>
      <c r="D39" s="54">
        <f>($C$48*D37)+($C$49*D38)</f>
        <v>0.10250000000000001</v>
      </c>
      <c r="E39" s="54">
        <f>($C$48*E37)+($C$49*E38)</f>
        <v>0.11562500000000001</v>
      </c>
      <c r="F39" s="51">
        <f>E39-D39</f>
        <v>1.3124999999999998E-2</v>
      </c>
      <c r="G39" s="55">
        <f>($C$48*G37)+($C$49*G38)</f>
        <v>0.10250000000000001</v>
      </c>
      <c r="H39" s="55">
        <f>($C$48*H37)+($C$49*H38)</f>
        <v>0.11562500000000001</v>
      </c>
      <c r="I39" s="53">
        <f>H39-G39</f>
        <v>1.3124999999999998E-2</v>
      </c>
      <c r="J39" s="55">
        <f>($C$48*J37)+($C$49*J38)</f>
        <v>0.10250000000000001</v>
      </c>
      <c r="K39" s="55">
        <f>($C$48*K37)+($C$49*K38)</f>
        <v>0.11562500000000001</v>
      </c>
      <c r="L39" s="53">
        <f>K39-J39</f>
        <v>1.3124999999999998E-2</v>
      </c>
      <c r="M39" s="55">
        <f>($C$48*M37)+($C$49*M38)</f>
        <v>0.11000000000000001</v>
      </c>
      <c r="N39" s="55">
        <f>($C$48*N37)+($C$49*N38)</f>
        <v>0.11562500000000001</v>
      </c>
      <c r="O39" s="53">
        <f>N39-M39</f>
        <v>5.6249999999999911E-3</v>
      </c>
      <c r="P39" s="55">
        <f>($C$48*P37)+($C$49*P38)</f>
        <v>0.11000000000000001</v>
      </c>
      <c r="Q39" s="55">
        <f>($C$48*Q37)+($C$49*Q38)</f>
        <v>0.11562500000000001</v>
      </c>
      <c r="R39" s="53">
        <f>Q39-P39</f>
        <v>5.6249999999999911E-3</v>
      </c>
      <c r="S39" s="55">
        <f>($C$48*S37)+($C$49*S38)</f>
        <v>0.11000000000000001</v>
      </c>
      <c r="T39" s="55">
        <f>($C$48*T37)+($C$49*T38)</f>
        <v>0.125</v>
      </c>
      <c r="U39" s="53">
        <f>T39-S39</f>
        <v>1.4999999999999986E-2</v>
      </c>
      <c r="V39" s="55">
        <f>($C$48*V37)+($C$49*V38)</f>
        <v>0.11000000000000001</v>
      </c>
      <c r="W39" s="55">
        <f>($C$48*W37)+($C$49*W38)</f>
        <v>0.125</v>
      </c>
      <c r="X39" s="53">
        <f>W39-V39</f>
        <v>1.4999999999999986E-2</v>
      </c>
      <c r="Y39" s="55">
        <v>0.11000000000000001</v>
      </c>
      <c r="Z39" s="55">
        <v>0.13052879427928296</v>
      </c>
      <c r="AA39" s="53">
        <v>2.0528794279282947E-2</v>
      </c>
    </row>
    <row r="40" spans="1:27">
      <c r="A40" s="11"/>
      <c r="B40" s="41"/>
      <c r="C40" s="26"/>
      <c r="D40" s="42"/>
      <c r="E40" s="42"/>
      <c r="F40" s="42"/>
      <c r="G40" s="29"/>
      <c r="H40" s="29"/>
      <c r="I40" s="29"/>
      <c r="J40" s="30"/>
      <c r="K40" s="30"/>
      <c r="L40" s="24"/>
      <c r="M40" s="30"/>
      <c r="N40" s="30"/>
      <c r="O40" s="24"/>
      <c r="P40" s="30"/>
      <c r="Q40" s="30"/>
      <c r="R40" s="24"/>
      <c r="S40" s="30"/>
      <c r="T40" s="30"/>
      <c r="U40" s="24"/>
      <c r="V40" s="30"/>
      <c r="W40" s="30"/>
      <c r="X40" s="24"/>
      <c r="Y40" s="30"/>
      <c r="Z40" s="30"/>
      <c r="AA40" s="24"/>
    </row>
    <row r="41" spans="1:27">
      <c r="A41" s="11"/>
      <c r="B41" s="41"/>
      <c r="C41" s="26"/>
      <c r="D41" s="42"/>
      <c r="E41" s="42"/>
      <c r="F41" s="42"/>
      <c r="G41" s="29"/>
      <c r="H41" s="29"/>
      <c r="I41" s="29"/>
      <c r="J41" s="30"/>
      <c r="K41" s="30"/>
      <c r="L41" s="24"/>
      <c r="M41" s="30"/>
      <c r="N41" s="30"/>
      <c r="O41" s="24"/>
      <c r="P41" s="30"/>
      <c r="Q41" s="30"/>
      <c r="R41" s="24"/>
      <c r="S41" s="30"/>
      <c r="T41" s="30"/>
      <c r="U41" s="24"/>
      <c r="V41" s="30"/>
      <c r="W41" s="30"/>
      <c r="X41" s="24"/>
      <c r="Y41" s="30"/>
      <c r="Z41" s="30"/>
      <c r="AA41" s="24"/>
    </row>
    <row r="42" spans="1:27">
      <c r="A42" s="11"/>
      <c r="B42" s="12" t="s">
        <v>34</v>
      </c>
      <c r="C42" s="5" t="s">
        <v>52</v>
      </c>
      <c r="D42" s="37">
        <f>SUM(D43:D44)</f>
        <v>644.1894125</v>
      </c>
      <c r="E42" s="37">
        <f t="shared" ref="E42:AA42" si="35">SUM(E43:E44)</f>
        <v>649.78941250000003</v>
      </c>
      <c r="F42" s="37">
        <f t="shared" si="35"/>
        <v>5.6</v>
      </c>
      <c r="G42" s="37">
        <f t="shared" si="35"/>
        <v>693.52368750000005</v>
      </c>
      <c r="H42" s="37">
        <f t="shared" si="35"/>
        <v>690.11368750000008</v>
      </c>
      <c r="I42" s="37">
        <f t="shared" si="35"/>
        <v>-3.4099999999999997</v>
      </c>
      <c r="J42" s="37">
        <f t="shared" si="35"/>
        <v>743.65000000000009</v>
      </c>
      <c r="K42" s="37">
        <f t="shared" si="35"/>
        <v>737.33</v>
      </c>
      <c r="L42" s="37">
        <f t="shared" si="35"/>
        <v>-6.32</v>
      </c>
      <c r="M42" s="37">
        <f t="shared" si="35"/>
        <v>1028.6547500000001</v>
      </c>
      <c r="N42" s="37">
        <f t="shared" si="35"/>
        <v>1022.3847500000001</v>
      </c>
      <c r="O42" s="37">
        <f t="shared" si="35"/>
        <v>-6.2700000000000005</v>
      </c>
      <c r="P42" s="37">
        <f t="shared" si="35"/>
        <v>1201.4696999999999</v>
      </c>
      <c r="Q42" s="37">
        <f t="shared" si="35"/>
        <v>1201.4696999999999</v>
      </c>
      <c r="R42" s="37">
        <f t="shared" si="35"/>
        <v>0</v>
      </c>
      <c r="S42" s="37">
        <f t="shared" si="35"/>
        <v>1367.5009500000001</v>
      </c>
      <c r="T42" s="37">
        <f t="shared" si="35"/>
        <v>1367.5624240000002</v>
      </c>
      <c r="U42" s="37">
        <f t="shared" si="35"/>
        <v>6.1474000000000001E-2</v>
      </c>
      <c r="V42" s="37">
        <f t="shared" si="35"/>
        <v>1531.2755000000002</v>
      </c>
      <c r="W42" s="37">
        <f t="shared" si="35"/>
        <v>1531.4483600000001</v>
      </c>
      <c r="X42" s="37">
        <f t="shared" si="35"/>
        <v>0.17286000000000001</v>
      </c>
      <c r="Y42" s="37">
        <f t="shared" si="35"/>
        <v>1699.7579000000001</v>
      </c>
      <c r="Z42" s="37">
        <f t="shared" si="35"/>
        <v>1699.8335841000001</v>
      </c>
      <c r="AA42" s="37">
        <f t="shared" si="35"/>
        <v>7.5684100000000004E-2</v>
      </c>
    </row>
    <row r="43" spans="1:27">
      <c r="A43" s="56"/>
      <c r="B43" s="41" t="s">
        <v>53</v>
      </c>
      <c r="C43" s="26"/>
      <c r="D43" s="42">
        <v>637.91941250000002</v>
      </c>
      <c r="E43" s="42">
        <v>637.91941250000002</v>
      </c>
      <c r="F43" s="42">
        <v>0</v>
      </c>
      <c r="G43" s="42">
        <v>687.17368750000003</v>
      </c>
      <c r="H43" s="42">
        <v>687.17368750000003</v>
      </c>
      <c r="I43" s="42">
        <v>0</v>
      </c>
      <c r="J43" s="42">
        <v>737.33</v>
      </c>
      <c r="K43" s="42">
        <v>737.33</v>
      </c>
      <c r="L43" s="42">
        <v>0</v>
      </c>
      <c r="M43" s="42">
        <v>1022.3347500000001</v>
      </c>
      <c r="N43" s="42">
        <v>1022.3347500000001</v>
      </c>
      <c r="O43" s="42">
        <v>0</v>
      </c>
      <c r="P43" s="42">
        <v>1201.4696999999999</v>
      </c>
      <c r="Q43" s="42">
        <v>1201.4696999999999</v>
      </c>
      <c r="R43" s="42">
        <v>0</v>
      </c>
      <c r="S43" s="42">
        <v>1367.5009500000001</v>
      </c>
      <c r="T43" s="42">
        <v>1367.5009500000001</v>
      </c>
      <c r="U43" s="42">
        <v>0</v>
      </c>
      <c r="V43" s="42">
        <v>1531.2755000000002</v>
      </c>
      <c r="W43" s="42">
        <v>1531.2755000000002</v>
      </c>
      <c r="X43" s="42">
        <v>0</v>
      </c>
      <c r="Y43" s="42">
        <v>1699.7579000000001</v>
      </c>
      <c r="Z43" s="42">
        <v>1699.7579000000001</v>
      </c>
      <c r="AA43" s="15">
        <v>0</v>
      </c>
    </row>
    <row r="44" spans="1:27">
      <c r="A44" s="11"/>
      <c r="B44" s="41" t="s">
        <v>54</v>
      </c>
      <c r="C44" s="26"/>
      <c r="D44" s="42">
        <v>6.27</v>
      </c>
      <c r="E44" s="42">
        <v>11.87</v>
      </c>
      <c r="F44" s="42">
        <v>5.6</v>
      </c>
      <c r="G44" s="29">
        <v>6.35</v>
      </c>
      <c r="H44" s="29">
        <v>2.94</v>
      </c>
      <c r="I44" s="29">
        <v>-3.4099999999999997</v>
      </c>
      <c r="J44" s="44">
        <v>6.32</v>
      </c>
      <c r="K44" s="44">
        <v>0</v>
      </c>
      <c r="L44" s="15">
        <f>K44-J44</f>
        <v>-6.32</v>
      </c>
      <c r="M44" s="44">
        <v>6.32</v>
      </c>
      <c r="N44" s="45">
        <v>0.05</v>
      </c>
      <c r="O44" s="15">
        <f>N44-M44</f>
        <v>-6.2700000000000005</v>
      </c>
      <c r="P44" s="44">
        <v>0</v>
      </c>
      <c r="Q44" s="44"/>
      <c r="R44" s="15">
        <f>Q44-P44</f>
        <v>0</v>
      </c>
      <c r="S44" s="44">
        <v>0</v>
      </c>
      <c r="T44" s="44">
        <v>6.1474000000000001E-2</v>
      </c>
      <c r="U44" s="15">
        <f>T44-S44</f>
        <v>6.1474000000000001E-2</v>
      </c>
      <c r="V44" s="44">
        <v>0</v>
      </c>
      <c r="W44" s="45">
        <v>0.17286000000000001</v>
      </c>
      <c r="X44" s="15">
        <f>W44-V44</f>
        <v>0.17286000000000001</v>
      </c>
      <c r="Y44" s="44"/>
      <c r="Z44" s="45">
        <v>7.5684100000000004E-2</v>
      </c>
      <c r="AA44" s="15">
        <v>7.5684100000000004E-2</v>
      </c>
    </row>
    <row r="45" spans="1:27">
      <c r="A45" s="56"/>
      <c r="B45" s="41"/>
      <c r="C45" s="26"/>
      <c r="D45" s="57"/>
      <c r="E45" s="42">
        <f>E12-E15-E44</f>
        <v>667.83698323632825</v>
      </c>
      <c r="F45" s="42">
        <f t="shared" ref="F45:Z45" si="36">F12-F15-F44</f>
        <v>29.917570736328287</v>
      </c>
      <c r="G45" s="42">
        <f t="shared" si="36"/>
        <v>687.17368750000003</v>
      </c>
      <c r="H45" s="42">
        <f t="shared" si="36"/>
        <v>798.17883214697918</v>
      </c>
      <c r="I45" s="42">
        <f t="shared" si="36"/>
        <v>111.00514464697919</v>
      </c>
      <c r="J45" s="42">
        <f t="shared" si="36"/>
        <v>737.33204999999998</v>
      </c>
      <c r="K45" s="42">
        <f t="shared" si="36"/>
        <v>836.39213163390639</v>
      </c>
      <c r="L45" s="42">
        <f t="shared" si="36"/>
        <v>99.06008163390635</v>
      </c>
      <c r="M45" s="42">
        <f t="shared" si="36"/>
        <v>1022.3353000000001</v>
      </c>
      <c r="N45" s="42">
        <f t="shared" si="36"/>
        <v>905.18633967693756</v>
      </c>
      <c r="O45" s="42">
        <f t="shared" si="36"/>
        <v>-117.1489603230625</v>
      </c>
      <c r="P45" s="42">
        <f t="shared" si="36"/>
        <v>1201.4696999999999</v>
      </c>
      <c r="Q45" s="42">
        <f t="shared" si="36"/>
        <v>1192.6973044132192</v>
      </c>
      <c r="R45" s="42">
        <f t="shared" si="36"/>
        <v>-8.7723955867808669</v>
      </c>
      <c r="S45" s="42">
        <f t="shared" si="36"/>
        <v>1367.5004000000001</v>
      </c>
      <c r="T45" s="42">
        <f t="shared" si="36"/>
        <v>1536.4825345718752</v>
      </c>
      <c r="U45" s="42">
        <f t="shared" si="36"/>
        <v>168.98213457187529</v>
      </c>
      <c r="V45" s="42">
        <f t="shared" si="36"/>
        <v>1531.2766000000001</v>
      </c>
      <c r="W45" s="42">
        <f t="shared" si="36"/>
        <v>1619.2806848500004</v>
      </c>
      <c r="X45" s="42">
        <f t="shared" si="36"/>
        <v>88.004084850000126</v>
      </c>
      <c r="Y45" s="42">
        <f t="shared" si="36"/>
        <v>1699.7579000000001</v>
      </c>
      <c r="Z45" s="42">
        <f t="shared" si="36"/>
        <v>1804.0203980161716</v>
      </c>
      <c r="AA45" s="24"/>
    </row>
    <row r="46" spans="1:27">
      <c r="A46" s="56"/>
      <c r="B46" s="12"/>
      <c r="C46" s="5"/>
      <c r="D46" s="58"/>
      <c r="E46" s="58"/>
      <c r="F46" s="58"/>
      <c r="G46" s="5"/>
      <c r="H46" s="5"/>
      <c r="I46" s="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>
      <c r="A47" s="11"/>
      <c r="B47" s="12" t="s">
        <v>55</v>
      </c>
      <c r="C47" s="9"/>
      <c r="D47" s="59"/>
      <c r="E47" s="59"/>
      <c r="F47" s="59"/>
      <c r="G47" s="9"/>
      <c r="H47" s="9"/>
      <c r="I47" s="9"/>
      <c r="J47" s="30"/>
      <c r="K47" s="60"/>
      <c r="L47" s="24"/>
      <c r="M47" s="30"/>
      <c r="N47" s="60"/>
      <c r="O47" s="24"/>
      <c r="P47" s="30"/>
      <c r="Q47" s="60"/>
      <c r="R47" s="24"/>
      <c r="S47" s="30"/>
      <c r="T47" s="60"/>
      <c r="U47" s="24"/>
      <c r="V47" s="30"/>
      <c r="W47" s="60"/>
      <c r="X47" s="24"/>
      <c r="Y47" s="30"/>
      <c r="Z47" s="60"/>
      <c r="AA47" s="24"/>
    </row>
    <row r="48" spans="1:27">
      <c r="A48" s="56"/>
      <c r="B48" s="12" t="s">
        <v>56</v>
      </c>
      <c r="C48" s="61">
        <v>0.75</v>
      </c>
      <c r="D48" s="62"/>
      <c r="E48" s="62"/>
      <c r="F48" s="62"/>
      <c r="G48" s="61"/>
      <c r="H48" s="61"/>
      <c r="I48" s="61"/>
      <c r="J48" s="61">
        <v>0.75</v>
      </c>
      <c r="K48" s="61">
        <v>0.75</v>
      </c>
      <c r="L48" s="24"/>
      <c r="M48" s="61">
        <v>0.75</v>
      </c>
      <c r="N48" s="61">
        <v>0.75</v>
      </c>
      <c r="O48" s="24"/>
      <c r="P48" s="61">
        <v>0.75</v>
      </c>
      <c r="Q48" s="61">
        <v>0.75</v>
      </c>
      <c r="R48" s="24"/>
      <c r="S48" s="61">
        <v>0.75</v>
      </c>
      <c r="T48" s="61">
        <v>0.75</v>
      </c>
      <c r="U48" s="24"/>
      <c r="V48" s="61">
        <v>0.75</v>
      </c>
      <c r="W48" s="61">
        <v>0.75</v>
      </c>
      <c r="X48" s="24"/>
      <c r="Y48" s="61"/>
      <c r="Z48" s="61"/>
      <c r="AA48" s="24"/>
    </row>
    <row r="49" spans="1:27">
      <c r="A49" s="56"/>
      <c r="B49" s="12" t="s">
        <v>57</v>
      </c>
      <c r="C49" s="61">
        <v>0.25</v>
      </c>
      <c r="D49" s="62"/>
      <c r="E49" s="62"/>
      <c r="F49" s="62"/>
      <c r="G49" s="61"/>
      <c r="H49" s="61"/>
      <c r="I49" s="61"/>
      <c r="J49" s="61">
        <v>0.25</v>
      </c>
      <c r="K49" s="61">
        <v>0.25</v>
      </c>
      <c r="L49" s="24"/>
      <c r="M49" s="61">
        <v>0.25</v>
      </c>
      <c r="N49" s="61">
        <v>0.25</v>
      </c>
      <c r="O49" s="24"/>
      <c r="P49" s="61">
        <v>0.25</v>
      </c>
      <c r="Q49" s="61">
        <v>0.25</v>
      </c>
      <c r="R49" s="24"/>
      <c r="S49" s="61">
        <v>0.25</v>
      </c>
      <c r="T49" s="61">
        <v>0.25</v>
      </c>
      <c r="U49" s="24"/>
      <c r="V49" s="61">
        <v>0.25</v>
      </c>
      <c r="W49" s="61">
        <v>0.25</v>
      </c>
      <c r="X49" s="24"/>
      <c r="Y49" s="61"/>
      <c r="Z49" s="61"/>
      <c r="AA49" s="24"/>
    </row>
    <row r="50" spans="1:27">
      <c r="D50" s="63"/>
      <c r="E50" s="63"/>
      <c r="F50" s="63"/>
    </row>
    <row r="51" spans="1:27" s="97" customFormat="1">
      <c r="B51" s="98"/>
      <c r="D51" s="99"/>
      <c r="E51" s="99"/>
      <c r="F51" s="99"/>
    </row>
    <row r="52" spans="1:27" s="97" customFormat="1">
      <c r="B52" s="98"/>
      <c r="D52" s="99"/>
      <c r="E52" s="99"/>
      <c r="F52" s="99"/>
    </row>
    <row r="53" spans="1:27" s="97" customFormat="1">
      <c r="B53" s="98"/>
      <c r="D53" s="99"/>
      <c r="E53" s="99"/>
      <c r="F53" s="99"/>
    </row>
    <row r="54" spans="1:27" s="97" customFormat="1">
      <c r="D54" s="99"/>
      <c r="E54" s="99"/>
      <c r="F54" s="99"/>
    </row>
    <row r="55" spans="1:27" s="97" customFormat="1">
      <c r="B55" s="98"/>
      <c r="D55" s="99"/>
      <c r="E55" s="99"/>
      <c r="F55" s="99"/>
    </row>
    <row r="56" spans="1:27" s="97" customFormat="1">
      <c r="B56" s="98"/>
      <c r="D56" s="99"/>
      <c r="E56" s="99"/>
      <c r="F56" s="99"/>
    </row>
    <row r="57" spans="1:27" s="97" customFormat="1">
      <c r="B57" s="98"/>
      <c r="D57" s="99"/>
      <c r="E57" s="99"/>
      <c r="F57" s="99"/>
    </row>
    <row r="58" spans="1:27">
      <c r="B58" s="64" t="s">
        <v>58</v>
      </c>
      <c r="D58" s="63"/>
      <c r="E58" s="63"/>
      <c r="F58" s="63"/>
    </row>
    <row r="59" spans="1:27" ht="15.75" thickBot="1">
      <c r="B59" s="65"/>
      <c r="C59" s="65"/>
      <c r="D59" s="65"/>
      <c r="E59" s="63"/>
      <c r="F59" s="63"/>
    </row>
    <row r="60" spans="1:27">
      <c r="A60" s="11"/>
      <c r="B60" s="66" t="s">
        <v>59</v>
      </c>
      <c r="C60" s="67"/>
      <c r="D60" s="68">
        <f>SUM(D61:D62)</f>
        <v>3598.92</v>
      </c>
      <c r="E60" s="68">
        <f>SUM(E61:E62)</f>
        <v>3170.9800924000001</v>
      </c>
      <c r="F60" s="63"/>
      <c r="G60" s="68">
        <f>SUM(G61:G62)</f>
        <v>4018.54</v>
      </c>
      <c r="H60" s="69">
        <f>SUM(H61:H62)</f>
        <v>3807.7405806000002</v>
      </c>
      <c r="J60" s="68">
        <f>SUM(J61:J62)</f>
        <v>4440.55</v>
      </c>
      <c r="K60" s="69">
        <f>SUM(K61:K62)</f>
        <v>4433.9074135999999</v>
      </c>
      <c r="M60" s="68">
        <f>SUM(M61:M62)</f>
        <v>5226.0200000000004</v>
      </c>
      <c r="N60" s="69">
        <f>SUM(N61:N62)</f>
        <v>5124.1194039000002</v>
      </c>
      <c r="P60" s="68">
        <f>SUM(P61:P62)</f>
        <v>6021.22</v>
      </c>
      <c r="Q60" s="69">
        <f>SUM(Q61:Q62)</f>
        <v>5783.1863589000004</v>
      </c>
      <c r="S60" s="68">
        <f>SUM(S61:S62)</f>
        <v>6849.95</v>
      </c>
      <c r="T60" s="69">
        <f>SUM(T61:T62)</f>
        <v>6705.5493358000003</v>
      </c>
      <c r="V60" s="68">
        <f>SUM(V61:V62)</f>
        <v>7753.44</v>
      </c>
      <c r="W60" s="69">
        <f>SUM(W61:W62)</f>
        <v>7642.8733229999998</v>
      </c>
      <c r="Y60" s="68">
        <f>SUM(Y61:Y62)</f>
        <v>8723.08</v>
      </c>
      <c r="Z60" s="69">
        <f>SUM(Z61:Z62)</f>
        <v>8652.9898410429996</v>
      </c>
    </row>
    <row r="61" spans="1:27">
      <c r="A61" s="11"/>
      <c r="B61" s="70" t="s">
        <v>60</v>
      </c>
      <c r="C61" s="65"/>
      <c r="D61" s="65">
        <v>3179.48</v>
      </c>
      <c r="E61" s="71">
        <f>3020.1402604</f>
        <v>3020.1402604</v>
      </c>
      <c r="F61" s="63"/>
      <c r="G61" s="65">
        <v>3649.73</v>
      </c>
      <c r="H61" s="72">
        <f>E60</f>
        <v>3170.9800924000001</v>
      </c>
      <c r="J61" s="65">
        <v>4121.83</v>
      </c>
      <c r="K61" s="72">
        <f>H60</f>
        <v>3807.7405806000002</v>
      </c>
      <c r="M61" s="65">
        <v>4422.58</v>
      </c>
      <c r="N61" s="72">
        <f>K60</f>
        <v>4433.9074135999999</v>
      </c>
      <c r="P61" s="65">
        <v>5226.0200000000004</v>
      </c>
      <c r="Q61" s="72">
        <f>N60</f>
        <v>5124.1194039000002</v>
      </c>
      <c r="S61" s="65">
        <v>6021.22</v>
      </c>
      <c r="T61" s="72">
        <f>Q60</f>
        <v>5783.1863589000004</v>
      </c>
      <c r="V61" s="65">
        <v>6849.95</v>
      </c>
      <c r="W61" s="72">
        <f>T60</f>
        <v>6705.5493358000003</v>
      </c>
      <c r="Y61" s="65">
        <v>7753.44</v>
      </c>
      <c r="Z61" s="72">
        <f>W60</f>
        <v>7642.8733229999998</v>
      </c>
    </row>
    <row r="62" spans="1:27">
      <c r="A62" s="11"/>
      <c r="B62" s="70" t="s">
        <v>61</v>
      </c>
      <c r="C62" s="65"/>
      <c r="D62" s="65">
        <v>419.44</v>
      </c>
      <c r="E62" s="71">
        <f>159.5151591-8.6753271</f>
        <v>150.839832</v>
      </c>
      <c r="F62" s="73"/>
      <c r="G62" s="65">
        <v>368.81</v>
      </c>
      <c r="H62" s="72">
        <f>630.948338-0.1073728+5.919523</f>
        <v>636.76048820000005</v>
      </c>
      <c r="I62" s="73"/>
      <c r="J62" s="65">
        <v>318.72000000000003</v>
      </c>
      <c r="K62" s="72">
        <f>626.5474119-0.3805789</f>
        <v>626.166833</v>
      </c>
      <c r="L62" s="73"/>
      <c r="M62" s="74">
        <v>803.44000000000051</v>
      </c>
      <c r="N62" s="75">
        <v>690.21199030000002</v>
      </c>
      <c r="O62" s="76"/>
      <c r="P62" s="74">
        <v>795.19999999999982</v>
      </c>
      <c r="Q62" s="75">
        <v>659.06695500000001</v>
      </c>
      <c r="R62" s="76"/>
      <c r="S62" s="74">
        <v>828.72999999999956</v>
      </c>
      <c r="T62" s="75">
        <f>923.2800264-0.8498199-0.0672296</f>
        <v>922.36297689999992</v>
      </c>
      <c r="U62" s="76"/>
      <c r="V62" s="74">
        <v>903.48999999999978</v>
      </c>
      <c r="W62" s="75">
        <f>927.6584958+10.6503096-18.1593638+17.1745456</f>
        <v>937.32398719999992</v>
      </c>
      <c r="X62" s="76"/>
      <c r="Y62" s="74">
        <v>969.64</v>
      </c>
      <c r="Z62" s="75">
        <v>1010.1165180429997</v>
      </c>
      <c r="AA62" s="76"/>
    </row>
    <row r="63" spans="1:27">
      <c r="A63" s="11"/>
      <c r="B63" s="77" t="s">
        <v>62</v>
      </c>
      <c r="C63" s="78"/>
      <c r="D63" s="79">
        <f>SUM(D64:D65)</f>
        <v>1462.1100000000001</v>
      </c>
      <c r="E63" s="79">
        <f>SUM(E64:E65)</f>
        <v>1386.2392702999998</v>
      </c>
      <c r="F63" s="63"/>
      <c r="G63" s="79">
        <f>SUM(G64:G65)</f>
        <v>1614.58</v>
      </c>
      <c r="H63" s="80">
        <f>SUM(H64:H65)</f>
        <v>1532.6282223999997</v>
      </c>
      <c r="J63" s="79">
        <f>SUM(J64:J65)</f>
        <v>1786.4299999999998</v>
      </c>
      <c r="K63" s="80">
        <f>SUM(K64:K65)</f>
        <v>1685.9522015999996</v>
      </c>
      <c r="M63" s="79">
        <f>SUM(M64:M65)</f>
        <v>2177.1</v>
      </c>
      <c r="N63" s="80">
        <f>SUM(N64:N65)</f>
        <v>1852.5196986999995</v>
      </c>
      <c r="P63" s="79">
        <f>SUM(P64:P65)</f>
        <v>2478.77</v>
      </c>
      <c r="Q63" s="80">
        <f>SUM(Q64:Q65)</f>
        <v>2034.7915332999994</v>
      </c>
      <c r="S63" s="79">
        <f>SUM(S64:S65)</f>
        <v>2859.71</v>
      </c>
      <c r="T63" s="80">
        <f>SUM(T64:T65)</f>
        <v>2254.9215332999993</v>
      </c>
      <c r="V63" s="79">
        <f>SUM(V64:V65)</f>
        <v>3303.65</v>
      </c>
      <c r="W63" s="80">
        <f>SUM(W64:W65)</f>
        <v>2509.4861605999995</v>
      </c>
      <c r="Y63" s="79">
        <f>SUM(Y64:Y65)</f>
        <v>3817.82</v>
      </c>
      <c r="Z63" s="80">
        <f>SUM(Z64:Z65)</f>
        <v>2793.4832955416837</v>
      </c>
    </row>
    <row r="64" spans="1:27">
      <c r="A64" s="11"/>
      <c r="B64" s="70" t="s">
        <v>63</v>
      </c>
      <c r="C64" s="65"/>
      <c r="D64" s="65">
        <v>1331.21</v>
      </c>
      <c r="E64" s="71">
        <f>1341.1686321-152.47+59.0372957</f>
        <v>1247.7359277999999</v>
      </c>
      <c r="F64" s="63"/>
      <c r="G64" s="65">
        <v>1462.11</v>
      </c>
      <c r="H64" s="72">
        <f>E63</f>
        <v>1386.2392702999998</v>
      </c>
      <c r="J64" s="65">
        <v>1614.58</v>
      </c>
      <c r="K64" s="72">
        <f>H63</f>
        <v>1532.6282223999997</v>
      </c>
      <c r="M64" s="65">
        <v>1952.28</v>
      </c>
      <c r="N64" s="72">
        <f>K63</f>
        <v>1685.9522015999996</v>
      </c>
      <c r="P64" s="65">
        <v>2177.1</v>
      </c>
      <c r="Q64" s="72">
        <f>N63</f>
        <v>1852.5196986999995</v>
      </c>
      <c r="S64" s="65">
        <v>2478.77</v>
      </c>
      <c r="T64" s="72">
        <f>Q63</f>
        <v>2034.7915332999994</v>
      </c>
      <c r="V64" s="65">
        <v>2859.71</v>
      </c>
      <c r="W64" s="72">
        <f>T63</f>
        <v>2254.9215332999993</v>
      </c>
      <c r="Y64" s="65">
        <v>3303.65</v>
      </c>
      <c r="Z64" s="72">
        <f>W63</f>
        <v>2509.4861605999995</v>
      </c>
    </row>
    <row r="65" spans="1:32">
      <c r="A65" s="11"/>
      <c r="B65" s="70" t="s">
        <v>64</v>
      </c>
      <c r="C65" s="65"/>
      <c r="D65" s="65">
        <v>130.9</v>
      </c>
      <c r="E65" s="71">
        <f>E31</f>
        <v>138.5033425</v>
      </c>
      <c r="F65" s="63"/>
      <c r="G65" s="65">
        <v>152.47</v>
      </c>
      <c r="H65" s="72">
        <f>H31</f>
        <v>146.38895209999998</v>
      </c>
      <c r="J65" s="65">
        <v>171.85</v>
      </c>
      <c r="K65" s="72">
        <f>K31</f>
        <v>153.32397920000003</v>
      </c>
      <c r="M65" s="65">
        <v>224.82</v>
      </c>
      <c r="N65" s="72">
        <f>N31</f>
        <v>166.56749709999997</v>
      </c>
      <c r="P65" s="65">
        <v>301.67</v>
      </c>
      <c r="Q65" s="72">
        <f>Q31</f>
        <v>182.27183460000001</v>
      </c>
      <c r="S65" s="65">
        <v>380.94</v>
      </c>
      <c r="T65" s="72">
        <f>T31</f>
        <v>220.13000000000002</v>
      </c>
      <c r="V65" s="65">
        <v>443.94</v>
      </c>
      <c r="W65" s="72">
        <f>W31</f>
        <v>254.56462730000001</v>
      </c>
      <c r="Y65" s="65">
        <v>514.16999999999996</v>
      </c>
      <c r="Z65" s="72">
        <f>Z31</f>
        <v>283.99713494168401</v>
      </c>
    </row>
    <row r="66" spans="1:32">
      <c r="B66" s="77" t="s">
        <v>65</v>
      </c>
      <c r="C66" s="78"/>
      <c r="D66" s="79">
        <f>SUM(D67:D68)</f>
        <v>814.06000000000006</v>
      </c>
      <c r="E66" s="79">
        <f>SUM(E67:E68)</f>
        <v>913.92209720000005</v>
      </c>
      <c r="F66" s="63"/>
      <c r="G66" s="79">
        <f>SUM(G67:G68)</f>
        <v>989.55</v>
      </c>
      <c r="H66" s="80">
        <f>SUM(H67:H68)</f>
        <v>1186.9325609</v>
      </c>
      <c r="J66" s="79">
        <f>SUM(J67:J68)</f>
        <v>1119.9299999999998</v>
      </c>
      <c r="K66" s="80">
        <f>SUM(K67:K68)</f>
        <v>1413.9962792000001</v>
      </c>
      <c r="M66" s="79">
        <f>SUM(M67:M68)</f>
        <v>1304.3800000000001</v>
      </c>
      <c r="N66" s="80">
        <f>SUM(N67:N68)</f>
        <v>1717.9981998000001</v>
      </c>
      <c r="P66" s="79">
        <f>SUM(P67:P68)</f>
        <v>1615.38</v>
      </c>
      <c r="Q66" s="80">
        <f>SUM(Q67:Q68)</f>
        <v>1978.9611567000002</v>
      </c>
      <c r="S66" s="79">
        <f>SUM(S67:S68)</f>
        <v>1921.9699999999998</v>
      </c>
      <c r="T66" s="80">
        <f>SUM(T67:T68)</f>
        <v>2340.7378551000002</v>
      </c>
      <c r="V66" s="79">
        <f>SUM(V67:V68)</f>
        <v>2240.8200000000002</v>
      </c>
      <c r="W66" s="80">
        <f>SUM(W67:W68)</f>
        <v>2744.9977429999999</v>
      </c>
      <c r="Y66" s="79">
        <f>SUM(Y67:Y68)</f>
        <v>2613.3500000000004</v>
      </c>
      <c r="Z66" s="80">
        <f>SUM(Z67:Z68)</f>
        <v>3130.4150545299999</v>
      </c>
    </row>
    <row r="67" spans="1:32">
      <c r="A67" s="11"/>
      <c r="B67" s="70" t="s">
        <v>66</v>
      </c>
      <c r="C67" s="65"/>
      <c r="D67" s="65">
        <v>646.57000000000005</v>
      </c>
      <c r="E67" s="71">
        <f>607.3069203+4.9865281+153.5740011</f>
        <v>765.86744950000002</v>
      </c>
      <c r="F67" s="63"/>
      <c r="G67" s="65">
        <v>814.06</v>
      </c>
      <c r="H67" s="72">
        <f>E66</f>
        <v>913.92209720000005</v>
      </c>
      <c r="J67" s="65">
        <v>989.56</v>
      </c>
      <c r="K67" s="72">
        <f>H66</f>
        <v>1186.9325609</v>
      </c>
      <c r="M67" s="65">
        <v>975.59</v>
      </c>
      <c r="N67" s="72">
        <f>K66</f>
        <v>1413.9962792000001</v>
      </c>
      <c r="P67" s="65">
        <v>1304.3900000000001</v>
      </c>
      <c r="Q67" s="72">
        <f>N66</f>
        <v>1717.9981998000001</v>
      </c>
      <c r="S67" s="65">
        <v>1615.37</v>
      </c>
      <c r="T67" s="72">
        <f>Q66</f>
        <v>1978.9611567000002</v>
      </c>
      <c r="V67" s="65">
        <v>1921.97</v>
      </c>
      <c r="W67" s="72">
        <f>T66+3.5</f>
        <v>2344.2378551000002</v>
      </c>
      <c r="Y67" s="65">
        <v>2240.3200000000002</v>
      </c>
      <c r="Z67" s="72">
        <f>W66</f>
        <v>2744.9977429999999</v>
      </c>
    </row>
    <row r="68" spans="1:32">
      <c r="A68" s="11"/>
      <c r="B68" s="70" t="s">
        <v>67</v>
      </c>
      <c r="C68" s="65"/>
      <c r="D68" s="65">
        <v>167.49</v>
      </c>
      <c r="E68" s="71">
        <f>130.8168342+14.0016135+3.2362</f>
        <v>148.05464769999998</v>
      </c>
      <c r="F68" s="63"/>
      <c r="G68" s="65">
        <v>175.49</v>
      </c>
      <c r="H68" s="72">
        <f>220.4578627+52.509351+0.04325</f>
        <v>273.0104637</v>
      </c>
      <c r="J68" s="65">
        <v>130.37</v>
      </c>
      <c r="K68" s="72">
        <f>226.9338075+0.1299108</f>
        <v>227.06371830000001</v>
      </c>
      <c r="M68" s="74">
        <v>328.79</v>
      </c>
      <c r="N68" s="75">
        <f>261.1221371+42.880898-0.0011145</f>
        <v>304.00192059999995</v>
      </c>
      <c r="O68" s="76"/>
      <c r="P68" s="74">
        <v>310.99</v>
      </c>
      <c r="Q68" s="75">
        <f>206.2029569-0.015+54.775</f>
        <v>260.96295689999999</v>
      </c>
      <c r="R68" s="76"/>
      <c r="S68" s="74">
        <v>306.60000000000002</v>
      </c>
      <c r="T68" s="75">
        <f>349.0845725+12.6921259</f>
        <v>361.77669839999999</v>
      </c>
      <c r="U68" s="76"/>
      <c r="V68" s="74">
        <v>318.85000000000002</v>
      </c>
      <c r="W68" s="75">
        <f>386.1325275+14.6273604</f>
        <v>400.75988789999997</v>
      </c>
      <c r="X68" s="76"/>
      <c r="Y68" s="74">
        <v>373.03</v>
      </c>
      <c r="Z68" s="75">
        <f>385.41731153</f>
        <v>385.41731153000001</v>
      </c>
      <c r="AA68" s="76"/>
    </row>
    <row r="69" spans="1:32">
      <c r="A69" s="11"/>
      <c r="B69" s="77" t="s">
        <v>68</v>
      </c>
      <c r="C69" s="65"/>
      <c r="D69" s="65">
        <v>30.94</v>
      </c>
      <c r="E69" s="71">
        <v>40.179407125000004</v>
      </c>
      <c r="F69" s="63"/>
      <c r="G69" s="65">
        <v>32.49</v>
      </c>
      <c r="H69" s="72">
        <v>49.472022333333335</v>
      </c>
      <c r="J69" s="65">
        <v>33.909999999999997</v>
      </c>
      <c r="K69" s="72">
        <v>48.759999999999991</v>
      </c>
      <c r="M69" s="74">
        <v>59.6</v>
      </c>
      <c r="N69" s="75">
        <v>53.377500000000005</v>
      </c>
      <c r="O69" s="76"/>
      <c r="P69" s="74">
        <v>65.459999999999994</v>
      </c>
      <c r="Q69" s="75">
        <v>75.655000000000015</v>
      </c>
      <c r="R69" s="76"/>
      <c r="S69" s="74">
        <v>71.97</v>
      </c>
      <c r="T69" s="75">
        <v>97.05852882500001</v>
      </c>
      <c r="U69" s="76"/>
      <c r="V69" s="74">
        <v>79.180000000000007</v>
      </c>
      <c r="W69" s="75">
        <v>97.954999999999998</v>
      </c>
      <c r="X69" s="76"/>
      <c r="Y69" s="74">
        <v>87.2</v>
      </c>
      <c r="Z69" s="75">
        <v>108.96499999999999</v>
      </c>
      <c r="AA69" s="76"/>
    </row>
    <row r="70" spans="1:32">
      <c r="A70" s="11"/>
      <c r="B70" s="77" t="s">
        <v>69</v>
      </c>
      <c r="C70" s="78"/>
      <c r="D70" s="79">
        <f>(D62-D65-D68)/2</f>
        <v>60.524999999999977</v>
      </c>
      <c r="E70" s="79">
        <f>(E62-E65-E68)/2</f>
        <v>-67.859079099999988</v>
      </c>
      <c r="F70" s="63"/>
      <c r="G70" s="79">
        <f>(G62-G65-G68)/2</f>
        <v>20.424999999999997</v>
      </c>
      <c r="H70" s="80">
        <f>(H62-H65-H68)/2</f>
        <v>108.68053620000003</v>
      </c>
      <c r="J70" s="79">
        <f>(J62-J65-J68)/2</f>
        <v>8.2500000000000142</v>
      </c>
      <c r="K70" s="80">
        <f>(K62-K65-K68)/2</f>
        <v>122.88956774999997</v>
      </c>
      <c r="L70" s="81"/>
      <c r="M70" s="79">
        <f>(M62-M65-M68)/2</f>
        <v>124.91500000000028</v>
      </c>
      <c r="N70" s="80">
        <f>(N62-N65-N68)/2</f>
        <v>109.82128630000005</v>
      </c>
      <c r="P70" s="79">
        <f>(P62-P65-P68)/2</f>
        <v>91.269999999999897</v>
      </c>
      <c r="Q70" s="80">
        <f>(Q62-Q65-Q68)/2</f>
        <v>107.91608174999999</v>
      </c>
      <c r="S70" s="79">
        <f>(S62-S65-S68)/2</f>
        <v>70.594999999999771</v>
      </c>
      <c r="T70" s="80">
        <f>(T62-T65-T68)/2</f>
        <v>170.22813924999997</v>
      </c>
      <c r="V70" s="79">
        <f>(V62-V65-V68)/2</f>
        <v>70.349999999999881</v>
      </c>
      <c r="W70" s="80">
        <f>(W62-W65-W68)/2</f>
        <v>140.99973599999998</v>
      </c>
      <c r="Y70" s="79">
        <f>(Y62-Y65-Y68)/2</f>
        <v>41.220000000000027</v>
      </c>
      <c r="Z70" s="80">
        <f>(Z62-Z65-Z68)/2</f>
        <v>170.35103578565781</v>
      </c>
    </row>
    <row r="71" spans="1:32" ht="15.75" thickBot="1">
      <c r="A71" s="11"/>
      <c r="B71" s="82" t="s">
        <v>70</v>
      </c>
      <c r="C71" s="83"/>
      <c r="D71" s="84">
        <f>D61-D64-D67+D69+D70</f>
        <v>1293.165</v>
      </c>
      <c r="E71" s="84">
        <f>E61-E64-E67+E69+E70</f>
        <v>978.85721112499994</v>
      </c>
      <c r="F71" s="73"/>
      <c r="G71" s="84">
        <f>G61-G64-G67+G69+G70</f>
        <v>1426.4749999999999</v>
      </c>
      <c r="H71" s="85">
        <f>H61-H64-H67+H69+H70</f>
        <v>1028.9712834333336</v>
      </c>
      <c r="I71" s="73"/>
      <c r="J71" s="84">
        <f>J61-J64-J67+J69+J70</f>
        <v>1559.8500000000001</v>
      </c>
      <c r="K71" s="85">
        <f>K61-K64-K67+K69+K70</f>
        <v>1259.8293650500004</v>
      </c>
      <c r="L71" s="73"/>
      <c r="M71" s="86">
        <f>M61-M64-M67+M69+M70</f>
        <v>1679.2250000000001</v>
      </c>
      <c r="N71" s="87">
        <f>N61-N64-N67+N69+N70</f>
        <v>1497.1577191000003</v>
      </c>
      <c r="O71" s="76"/>
      <c r="P71" s="86">
        <f>P61-P64-P67+P69+P70</f>
        <v>1901.2600000000004</v>
      </c>
      <c r="Q71" s="87">
        <f>Q61-Q64-Q67+Q69+Q70</f>
        <v>1737.1725871500007</v>
      </c>
      <c r="R71" s="76"/>
      <c r="S71" s="86">
        <f>S61-S64-S67+S69+S70</f>
        <v>2069.645</v>
      </c>
      <c r="T71" s="87">
        <f>T61-T64-T67+T69+T70</f>
        <v>2036.7203369750009</v>
      </c>
      <c r="U71" s="76"/>
      <c r="V71" s="86">
        <f>V61-V64-V67+V69+V70</f>
        <v>2217.7999999999993</v>
      </c>
      <c r="W71" s="87">
        <f>W61-W64-W67+W69+W70</f>
        <v>2345.3446834000006</v>
      </c>
      <c r="X71" s="76"/>
      <c r="Y71" s="86">
        <f>Y61-Y64-Y67+Y69+Y70</f>
        <v>2337.8899999999985</v>
      </c>
      <c r="Z71" s="87">
        <f>Z61-Z64-Z67+Z69+Z70</f>
        <v>2667.7054551856581</v>
      </c>
      <c r="AA71" s="76"/>
    </row>
    <row r="73" spans="1:32" s="111" customFormat="1">
      <c r="B73" s="112"/>
      <c r="E73" s="113"/>
    </row>
    <row r="74" spans="1:32" s="114" customFormat="1">
      <c r="B74" s="115"/>
      <c r="C74" s="116"/>
    </row>
    <row r="75" spans="1:32" s="114" customFormat="1">
      <c r="B75" s="117"/>
      <c r="F75" s="118"/>
      <c r="H75" s="119"/>
      <c r="I75" s="118"/>
      <c r="L75" s="118"/>
      <c r="O75" s="118"/>
      <c r="R75" s="118"/>
      <c r="U75" s="118"/>
      <c r="X75" s="118"/>
      <c r="AA75" s="118"/>
    </row>
    <row r="76" spans="1:32" s="114" customFormat="1">
      <c r="B76" s="340"/>
      <c r="C76" s="341"/>
      <c r="D76" s="341"/>
      <c r="F76" s="118"/>
      <c r="H76" s="119"/>
      <c r="I76" s="118"/>
      <c r="L76" s="118"/>
      <c r="O76" s="118"/>
      <c r="R76" s="118"/>
      <c r="U76" s="118"/>
      <c r="X76" s="118"/>
      <c r="AA76" s="118"/>
      <c r="AD76" s="120"/>
    </row>
    <row r="77" spans="1:32" s="114" customFormat="1">
      <c r="B77" s="117"/>
      <c r="F77" s="118"/>
      <c r="H77" s="121"/>
      <c r="I77" s="118"/>
      <c r="L77" s="118"/>
      <c r="O77" s="118"/>
      <c r="R77" s="118"/>
      <c r="U77" s="118"/>
      <c r="X77" s="118"/>
      <c r="AA77" s="118"/>
      <c r="AD77" s="120"/>
    </row>
    <row r="78" spans="1:32" s="114" customFormat="1">
      <c r="B78" s="117"/>
      <c r="F78" s="118"/>
      <c r="H78" s="119"/>
      <c r="I78" s="118"/>
      <c r="L78" s="118"/>
      <c r="O78" s="118"/>
      <c r="R78" s="118"/>
      <c r="U78" s="118"/>
      <c r="X78" s="118"/>
      <c r="AA78" s="118"/>
    </row>
    <row r="79" spans="1:32" s="114" customFormat="1"/>
    <row r="80" spans="1:32" s="114" customFormat="1" ht="15.75">
      <c r="B80" s="122"/>
      <c r="C80" s="123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0"/>
      <c r="AC80" s="120"/>
      <c r="AD80" s="120"/>
      <c r="AE80" s="125"/>
      <c r="AF80" s="125"/>
    </row>
    <row r="81" spans="1:32" s="114" customFormat="1" ht="15.75">
      <c r="B81" s="122"/>
      <c r="C81" s="123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0"/>
      <c r="AC81" s="120"/>
      <c r="AD81" s="120"/>
      <c r="AE81" s="125"/>
      <c r="AF81" s="125"/>
    </row>
    <row r="82" spans="1:32" s="114" customFormat="1" ht="15.75">
      <c r="B82" s="122"/>
      <c r="C82" s="123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0"/>
      <c r="AC82" s="120"/>
      <c r="AD82" s="120"/>
      <c r="AE82" s="125"/>
      <c r="AF82" s="125"/>
    </row>
    <row r="83" spans="1:32" s="114" customFormat="1" ht="15.75">
      <c r="B83" s="122"/>
      <c r="C83" s="123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0"/>
      <c r="AC83" s="120"/>
      <c r="AD83" s="120"/>
      <c r="AE83" s="125"/>
      <c r="AF83" s="125"/>
    </row>
    <row r="84" spans="1:32" s="114" customFormat="1" ht="15.75">
      <c r="B84" s="122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0"/>
      <c r="AC84" s="120"/>
      <c r="AD84" s="120"/>
      <c r="AE84" s="125"/>
      <c r="AF84" s="125"/>
    </row>
    <row r="85" spans="1:32" s="114" customFormat="1" ht="15.75">
      <c r="B85" s="122"/>
      <c r="C85" s="123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0"/>
      <c r="AC85" s="120"/>
      <c r="AD85" s="120"/>
      <c r="AE85" s="125"/>
      <c r="AF85" s="125"/>
    </row>
    <row r="86" spans="1:32" s="114" customFormat="1" ht="15.75">
      <c r="B86" s="126"/>
      <c r="C86" s="123"/>
      <c r="D86" s="127" t="s">
        <v>186</v>
      </c>
      <c r="E86" s="127"/>
      <c r="F86" s="124"/>
      <c r="G86" s="127"/>
      <c r="H86" s="127"/>
      <c r="I86" s="124"/>
      <c r="J86" s="127"/>
      <c r="K86" s="127"/>
      <c r="L86" s="124"/>
      <c r="M86" s="127"/>
      <c r="N86" s="127"/>
      <c r="O86" s="124"/>
      <c r="P86" s="127"/>
      <c r="Q86" s="127"/>
      <c r="R86" s="124"/>
      <c r="S86" s="127"/>
      <c r="T86" s="127"/>
      <c r="U86" s="124"/>
      <c r="V86" s="127"/>
      <c r="W86" s="127"/>
      <c r="X86" s="124"/>
      <c r="Y86" s="127"/>
      <c r="Z86" s="127"/>
      <c r="AA86" s="124"/>
      <c r="AB86" s="120"/>
      <c r="AC86" s="120"/>
      <c r="AD86" s="120"/>
      <c r="AE86" s="125"/>
      <c r="AF86" s="125"/>
    </row>
    <row r="87" spans="1:32" s="114" customFormat="1" ht="15.75">
      <c r="B87" s="126"/>
      <c r="C87" s="123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0"/>
      <c r="AC87" s="120"/>
      <c r="AD87" s="120"/>
      <c r="AE87" s="125"/>
      <c r="AF87" s="125"/>
    </row>
    <row r="88" spans="1:32" s="114" customFormat="1" ht="15.75">
      <c r="B88" s="126"/>
      <c r="C88" s="123"/>
      <c r="D88" s="127"/>
      <c r="E88" s="127"/>
      <c r="F88" s="124"/>
      <c r="G88" s="127"/>
      <c r="H88" s="127"/>
      <c r="I88" s="124"/>
      <c r="J88" s="127"/>
      <c r="K88" s="127"/>
      <c r="L88" s="124"/>
      <c r="M88" s="127"/>
      <c r="N88" s="127"/>
      <c r="O88" s="124"/>
      <c r="P88" s="127"/>
      <c r="Q88" s="127"/>
      <c r="R88" s="124"/>
      <c r="S88" s="127"/>
      <c r="T88" s="127"/>
      <c r="U88" s="124"/>
      <c r="V88" s="127"/>
      <c r="W88" s="127"/>
      <c r="X88" s="124"/>
      <c r="Y88" s="127"/>
      <c r="Z88" s="127"/>
      <c r="AA88" s="124"/>
      <c r="AB88" s="120"/>
      <c r="AC88" s="120"/>
      <c r="AD88" s="120"/>
      <c r="AE88" s="125"/>
      <c r="AF88" s="125"/>
    </row>
    <row r="89" spans="1:32" s="114" customFormat="1" ht="15.75">
      <c r="B89" s="128"/>
      <c r="C89" s="123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0"/>
      <c r="AC89" s="120"/>
      <c r="AD89" s="120"/>
      <c r="AE89" s="125"/>
      <c r="AF89" s="125"/>
    </row>
    <row r="90" spans="1:32" s="131" customFormat="1" ht="15.75">
      <c r="A90" s="114"/>
      <c r="B90" s="128"/>
      <c r="C90" s="129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20"/>
      <c r="AC90" s="120"/>
      <c r="AD90" s="120"/>
      <c r="AE90" s="125"/>
      <c r="AF90" s="125"/>
    </row>
    <row r="91" spans="1:32" s="114" customFormat="1" ht="15.75">
      <c r="B91" s="128"/>
      <c r="C91" s="123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0"/>
      <c r="AC91" s="120"/>
      <c r="AD91" s="120"/>
      <c r="AE91" s="125"/>
      <c r="AF91" s="125"/>
    </row>
    <row r="92" spans="1:32" s="114" customFormat="1" ht="15.75">
      <c r="B92" s="128"/>
      <c r="C92" s="123"/>
      <c r="D92" s="127"/>
      <c r="E92" s="127"/>
      <c r="F92" s="124"/>
      <c r="G92" s="127"/>
      <c r="H92" s="127"/>
      <c r="I92" s="124"/>
      <c r="J92" s="127"/>
      <c r="K92" s="127"/>
      <c r="L92" s="124"/>
      <c r="M92" s="127"/>
      <c r="N92" s="127"/>
      <c r="O92" s="124"/>
      <c r="P92" s="127"/>
      <c r="Q92" s="127"/>
      <c r="R92" s="124"/>
      <c r="S92" s="127"/>
      <c r="T92" s="127"/>
      <c r="U92" s="124"/>
      <c r="V92" s="127"/>
      <c r="W92" s="127"/>
      <c r="X92" s="124"/>
      <c r="Y92" s="127"/>
      <c r="Z92" s="127"/>
      <c r="AA92" s="124"/>
      <c r="AB92" s="120"/>
      <c r="AC92" s="120"/>
      <c r="AD92" s="120"/>
      <c r="AE92" s="132"/>
      <c r="AF92" s="132"/>
    </row>
    <row r="93" spans="1:32" s="131" customFormat="1" ht="15.75">
      <c r="B93" s="128"/>
      <c r="C93" s="129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20"/>
      <c r="AC93" s="120"/>
      <c r="AD93" s="120"/>
    </row>
    <row r="94" spans="1:32" s="114" customFormat="1" ht="15.75">
      <c r="B94" s="128"/>
      <c r="C94" s="123"/>
      <c r="D94" s="133"/>
      <c r="E94" s="133"/>
      <c r="F94" s="133"/>
      <c r="G94" s="133"/>
      <c r="H94" s="133"/>
      <c r="I94" s="134"/>
      <c r="J94" s="133"/>
      <c r="K94" s="133"/>
      <c r="L94" s="134"/>
      <c r="M94" s="133"/>
      <c r="N94" s="133"/>
      <c r="O94" s="134"/>
      <c r="P94" s="133"/>
      <c r="Q94" s="133"/>
      <c r="R94" s="134"/>
      <c r="S94" s="133"/>
      <c r="T94" s="133"/>
      <c r="U94" s="134"/>
      <c r="V94" s="133"/>
      <c r="W94" s="133"/>
      <c r="X94" s="134"/>
      <c r="Y94" s="133"/>
      <c r="Z94" s="133"/>
      <c r="AA94" s="134"/>
      <c r="AB94" s="120"/>
      <c r="AC94" s="120"/>
      <c r="AD94" s="120"/>
    </row>
    <row r="95" spans="1:32" s="114" customFormat="1">
      <c r="F95" s="135"/>
    </row>
    <row r="96" spans="1:32" s="114" customFormat="1" ht="15.75">
      <c r="B96" s="136"/>
      <c r="C96" s="123"/>
      <c r="F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AA96" s="124"/>
      <c r="AB96" s="120"/>
      <c r="AC96" s="120"/>
      <c r="AD96" s="120"/>
    </row>
    <row r="97" spans="2:30" s="114" customFormat="1"/>
    <row r="98" spans="2:30" s="114" customFormat="1" ht="15.75">
      <c r="B98" s="128"/>
      <c r="C98" s="123"/>
      <c r="D98" s="135"/>
      <c r="E98" s="135"/>
      <c r="F98" s="124"/>
      <c r="G98" s="135"/>
      <c r="H98" s="135"/>
      <c r="I98" s="124"/>
      <c r="J98" s="135"/>
      <c r="K98" s="135"/>
      <c r="L98" s="124"/>
      <c r="M98" s="135"/>
      <c r="N98" s="135"/>
      <c r="O98" s="124"/>
      <c r="P98" s="135"/>
      <c r="Q98" s="135"/>
      <c r="R98" s="124"/>
      <c r="S98" s="135"/>
      <c r="T98" s="135"/>
      <c r="U98" s="124"/>
      <c r="V98" s="135"/>
      <c r="W98" s="135"/>
      <c r="X98" s="124"/>
      <c r="Y98" s="135"/>
      <c r="Z98" s="135"/>
      <c r="AA98" s="124"/>
      <c r="AB98" s="120"/>
      <c r="AC98" s="120"/>
      <c r="AD98" s="120"/>
    </row>
    <row r="99" spans="2:30" s="114" customFormat="1">
      <c r="L99" s="135"/>
      <c r="AA99" s="135"/>
      <c r="AD99" s="119"/>
    </row>
    <row r="100" spans="2:30" s="114" customFormat="1">
      <c r="B100" s="137"/>
    </row>
    <row r="101" spans="2:30" s="97" customFormat="1"/>
    <row r="102" spans="2:30" s="97" customFormat="1"/>
    <row r="103" spans="2:30" s="97" customFormat="1">
      <c r="B103" s="89"/>
      <c r="C103" s="100"/>
    </row>
    <row r="104" spans="2:30" s="97" customFormat="1">
      <c r="B104" s="101"/>
      <c r="F104" s="102"/>
      <c r="H104" s="103"/>
      <c r="I104" s="102"/>
      <c r="L104" s="102"/>
      <c r="O104" s="102"/>
      <c r="R104" s="102"/>
      <c r="U104" s="102"/>
      <c r="X104" s="102"/>
      <c r="AA104" s="102"/>
    </row>
    <row r="105" spans="2:30" s="97" customFormat="1">
      <c r="B105" s="101"/>
      <c r="F105" s="102"/>
      <c r="I105" s="102"/>
      <c r="L105" s="102"/>
      <c r="O105" s="102"/>
      <c r="R105" s="102"/>
      <c r="U105" s="102"/>
      <c r="X105" s="102"/>
      <c r="AA105" s="102"/>
      <c r="AD105" s="104"/>
    </row>
    <row r="106" spans="2:30" s="97" customFormat="1">
      <c r="B106" s="101"/>
      <c r="F106" s="102"/>
      <c r="H106" s="105"/>
      <c r="I106" s="102"/>
      <c r="L106" s="102"/>
      <c r="O106" s="102"/>
      <c r="R106" s="102"/>
      <c r="U106" s="102"/>
      <c r="X106" s="102"/>
      <c r="AA106" s="102"/>
      <c r="AD106" s="104"/>
    </row>
    <row r="107" spans="2:30" s="97" customFormat="1">
      <c r="B107" s="101"/>
      <c r="F107" s="102"/>
      <c r="H107" s="103"/>
      <c r="I107" s="102"/>
      <c r="L107" s="102"/>
      <c r="O107" s="102"/>
      <c r="R107" s="102"/>
      <c r="U107" s="102"/>
      <c r="X107" s="102"/>
      <c r="AA107" s="102"/>
    </row>
    <row r="108" spans="2:30" s="97" customFormat="1"/>
    <row r="109" spans="2:30" s="97" customFormat="1">
      <c r="D109" s="105"/>
      <c r="E109" s="105"/>
      <c r="F109" s="105"/>
    </row>
    <row r="110" spans="2:30" s="97" customFormat="1" ht="15.75">
      <c r="B110" s="106"/>
    </row>
    <row r="111" spans="2:30" s="97" customFormat="1" ht="15.75">
      <c r="B111" s="106"/>
    </row>
    <row r="112" spans="2:30" s="97" customFormat="1" ht="15.75">
      <c r="B112" s="106"/>
    </row>
    <row r="113" spans="2:2" s="97" customFormat="1" ht="15.75">
      <c r="B113" s="106"/>
    </row>
    <row r="114" spans="2:2" s="97" customFormat="1" ht="15.75">
      <c r="B114" s="106"/>
    </row>
    <row r="115" spans="2:2" s="97" customFormat="1" ht="15.75">
      <c r="B115" s="107"/>
    </row>
    <row r="116" spans="2:2" s="97" customFormat="1" ht="15.75">
      <c r="B116" s="107"/>
    </row>
    <row r="117" spans="2:2" s="97" customFormat="1" ht="15.75">
      <c r="B117" s="107"/>
    </row>
    <row r="118" spans="2:2" s="97" customFormat="1" ht="15.75">
      <c r="B118" s="108"/>
    </row>
    <row r="119" spans="2:2" s="97" customFormat="1" ht="15.75">
      <c r="B119" s="109"/>
    </row>
    <row r="120" spans="2:2" s="97" customFormat="1" ht="15.75">
      <c r="B120" s="108"/>
    </row>
    <row r="121" spans="2:2" s="97" customFormat="1" ht="15.75">
      <c r="B121" s="108"/>
    </row>
    <row r="122" spans="2:2" s="97" customFormat="1" ht="15.75">
      <c r="B122" s="109"/>
    </row>
    <row r="123" spans="2:2" s="97" customFormat="1" ht="15.75">
      <c r="B123" s="109"/>
    </row>
  </sheetData>
  <mergeCells count="23">
    <mergeCell ref="M2:O2"/>
    <mergeCell ref="P2:R2"/>
    <mergeCell ref="J3:L3"/>
    <mergeCell ref="A2:C2"/>
    <mergeCell ref="D2:F2"/>
    <mergeCell ref="G2:I2"/>
    <mergeCell ref="J2:L2"/>
    <mergeCell ref="A3:A4"/>
    <mergeCell ref="B3:B4"/>
    <mergeCell ref="C3:C4"/>
    <mergeCell ref="D3:F3"/>
    <mergeCell ref="G3:I3"/>
    <mergeCell ref="AB3:AD3"/>
    <mergeCell ref="S2:U2"/>
    <mergeCell ref="V2:X2"/>
    <mergeCell ref="Y2:AA2"/>
    <mergeCell ref="AB2:AD2"/>
    <mergeCell ref="Y24:Y26"/>
    <mergeCell ref="M3:O3"/>
    <mergeCell ref="P3:R3"/>
    <mergeCell ref="S3:U3"/>
    <mergeCell ref="V3:X3"/>
    <mergeCell ref="Y3:AA3"/>
  </mergeCells>
  <dataValidations disablePrompts="1" count="1">
    <dataValidation type="decimal" allowBlank="1" showInputMessage="1" showErrorMessage="1" sqref="E60:E71 G60:H71 J60:K71 M60:N71 P60:Q71 S60:T71 V60:W71 Y60:Z71 D59:D71">
      <formula1>-1E+23</formula1>
      <formula2>1E+26</formula2>
    </dataValidation>
  </dataValidations>
  <pageMargins left="5.5555555555555601E-3" right="5.5555555555555601E-3" top="0.48" bottom="0.34" header="0.3" footer="0.17"/>
  <pageSetup paperSize="5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70"/>
  <sheetViews>
    <sheetView view="pageBreakPreview" zoomScale="85" zoomScaleNormal="100" zoomScaleSheetLayoutView="85" workbookViewId="0">
      <pane xSplit="2" ySplit="4" topLeftCell="C65" activePane="bottomRight" state="frozen"/>
      <selection activeCell="R12" sqref="R12"/>
      <selection pane="topRight" activeCell="R12" sqref="R12"/>
      <selection pane="bottomLeft" activeCell="R12" sqref="R12"/>
      <selection pane="bottomRight" activeCell="R12" sqref="R12"/>
    </sheetView>
  </sheetViews>
  <sheetFormatPr defaultRowHeight="15"/>
  <cols>
    <col min="2" max="2" width="35.7109375" bestFit="1" customWidth="1"/>
    <col min="3" max="3" width="8.5703125" customWidth="1"/>
    <col min="4" max="5" width="9.140625" customWidth="1"/>
    <col min="6" max="6" width="10.5703125" customWidth="1"/>
    <col min="7" max="7" width="10" customWidth="1"/>
    <col min="8" max="8" width="9.5703125" customWidth="1"/>
    <col min="9" max="9" width="11" customWidth="1"/>
    <col min="10" max="10" width="11.28515625" customWidth="1"/>
    <col min="11" max="11" width="9.5703125" customWidth="1"/>
    <col min="12" max="12" width="10.42578125" customWidth="1"/>
    <col min="13" max="13" width="10.140625" customWidth="1"/>
    <col min="14" max="14" width="9.5703125" customWidth="1"/>
    <col min="15" max="15" width="10.7109375" customWidth="1"/>
    <col min="16" max="16" width="9.7109375" customWidth="1"/>
    <col min="17" max="17" width="9.140625" customWidth="1"/>
    <col min="18" max="18" width="11.5703125" customWidth="1"/>
    <col min="19" max="20" width="11" customWidth="1"/>
    <col min="21" max="21" width="9.7109375" customWidth="1"/>
    <col min="22" max="22" width="11.85546875" hidden="1" customWidth="1"/>
    <col min="23" max="23" width="16.7109375" hidden="1" customWidth="1"/>
    <col min="25" max="25" width="10.5703125" bestFit="1" customWidth="1"/>
  </cols>
  <sheetData>
    <row r="1" spans="1:24">
      <c r="B1" t="s">
        <v>185</v>
      </c>
    </row>
    <row r="2" spans="1:24" ht="18">
      <c r="A2" s="312" t="s">
        <v>95</v>
      </c>
      <c r="B2" s="312"/>
      <c r="C2" s="312"/>
      <c r="D2" s="310" t="s">
        <v>16</v>
      </c>
      <c r="E2" s="310"/>
      <c r="F2" s="311"/>
      <c r="G2" s="310"/>
      <c r="H2" s="310"/>
      <c r="I2" s="311"/>
      <c r="J2" s="310"/>
      <c r="K2" s="310"/>
      <c r="L2" s="311"/>
      <c r="M2" s="310"/>
      <c r="N2" s="310"/>
      <c r="O2" s="311"/>
      <c r="P2" s="310"/>
      <c r="Q2" s="310"/>
      <c r="R2" s="311"/>
      <c r="S2" s="310"/>
      <c r="T2" s="310"/>
      <c r="U2" s="311"/>
    </row>
    <row r="3" spans="1:24" ht="30">
      <c r="A3" s="320" t="s">
        <v>1</v>
      </c>
      <c r="B3" s="321" t="s">
        <v>2</v>
      </c>
      <c r="C3" s="320" t="s">
        <v>3</v>
      </c>
      <c r="D3" s="315" t="s">
        <v>96</v>
      </c>
      <c r="E3" s="316"/>
      <c r="F3" s="317"/>
      <c r="G3" s="315" t="s">
        <v>97</v>
      </c>
      <c r="H3" s="316"/>
      <c r="I3" s="317"/>
      <c r="J3" s="315" t="s">
        <v>98</v>
      </c>
      <c r="K3" s="316"/>
      <c r="L3" s="317"/>
      <c r="M3" s="315" t="s">
        <v>99</v>
      </c>
      <c r="N3" s="316"/>
      <c r="O3" s="317"/>
      <c r="P3" s="315" t="s">
        <v>100</v>
      </c>
      <c r="Q3" s="316"/>
      <c r="R3" s="317"/>
      <c r="S3" s="315" t="s">
        <v>13</v>
      </c>
      <c r="T3" s="316"/>
      <c r="U3" s="317"/>
      <c r="V3" s="138" t="s">
        <v>13</v>
      </c>
      <c r="W3" s="139" t="s">
        <v>14</v>
      </c>
    </row>
    <row r="4" spans="1:24">
      <c r="A4" s="320"/>
      <c r="B4" s="321"/>
      <c r="C4" s="320"/>
      <c r="D4" s="2" t="s">
        <v>15</v>
      </c>
      <c r="E4" s="140" t="s">
        <v>16</v>
      </c>
      <c r="F4" s="2" t="s">
        <v>17</v>
      </c>
      <c r="G4" s="2" t="s">
        <v>15</v>
      </c>
      <c r="H4" s="140" t="s">
        <v>16</v>
      </c>
      <c r="I4" s="2" t="s">
        <v>17</v>
      </c>
      <c r="J4" s="2" t="s">
        <v>15</v>
      </c>
      <c r="K4" s="140" t="s">
        <v>16</v>
      </c>
      <c r="L4" s="2" t="s">
        <v>17</v>
      </c>
      <c r="M4" s="2" t="s">
        <v>15</v>
      </c>
      <c r="N4" s="140" t="s">
        <v>16</v>
      </c>
      <c r="O4" s="2" t="s">
        <v>17</v>
      </c>
      <c r="P4" s="2" t="s">
        <v>15</v>
      </c>
      <c r="Q4" s="140" t="s">
        <v>16</v>
      </c>
      <c r="R4" s="2" t="s">
        <v>17</v>
      </c>
      <c r="S4" s="3" t="s">
        <v>15</v>
      </c>
      <c r="T4" s="3" t="s">
        <v>16</v>
      </c>
      <c r="U4" s="3" t="s">
        <v>17</v>
      </c>
      <c r="V4" s="141">
        <v>0.8024</v>
      </c>
      <c r="W4" s="142">
        <f>100%-V4</f>
        <v>0.1976</v>
      </c>
    </row>
    <row r="5" spans="1:24">
      <c r="A5" s="5"/>
      <c r="B5" s="6"/>
      <c r="C5" s="5"/>
      <c r="D5" s="5"/>
      <c r="E5" s="5"/>
      <c r="F5" s="5"/>
      <c r="G5" s="5"/>
      <c r="H5" s="5"/>
      <c r="I5" s="5"/>
      <c r="J5" s="7"/>
      <c r="K5" s="8"/>
      <c r="L5" s="9"/>
      <c r="M5" s="7"/>
      <c r="N5" s="8"/>
      <c r="O5" s="9"/>
      <c r="P5" s="7"/>
      <c r="Q5" s="8"/>
      <c r="R5" s="9"/>
      <c r="S5" s="18"/>
      <c r="T5" s="18"/>
      <c r="U5" s="18"/>
      <c r="V5" s="138"/>
      <c r="W5" s="138"/>
    </row>
    <row r="6" spans="1:24">
      <c r="A6" s="11" t="s">
        <v>18</v>
      </c>
      <c r="B6" s="12" t="s">
        <v>19</v>
      </c>
      <c r="C6" s="5" t="s">
        <v>20</v>
      </c>
      <c r="D6" s="143">
        <f>D23</f>
        <v>1055.74</v>
      </c>
      <c r="E6" s="143">
        <f>E23</f>
        <v>1315.6856400420002</v>
      </c>
      <c r="F6" s="16">
        <f t="shared" ref="F6:F12" si="0">E6-D6</f>
        <v>259.94564004200015</v>
      </c>
      <c r="G6" s="143">
        <f>G23</f>
        <v>1164.1958258313425</v>
      </c>
      <c r="H6" s="143">
        <f>H23</f>
        <v>1080.82</v>
      </c>
      <c r="I6" s="16">
        <f t="shared" ref="I6:I12" si="1">H6-G6</f>
        <v>-83.375825831342581</v>
      </c>
      <c r="J6" s="143">
        <f>J23</f>
        <v>1397.7990090699673</v>
      </c>
      <c r="K6" s="143">
        <f>K23</f>
        <v>1841.3310089809995</v>
      </c>
      <c r="L6" s="16">
        <f t="shared" ref="L6:L18" si="2">K6-J6</f>
        <v>443.53199991103224</v>
      </c>
      <c r="M6" s="143">
        <f>M23</f>
        <v>1633.8013077108235</v>
      </c>
      <c r="N6" s="143">
        <f>N23</f>
        <v>2108.9964798000001</v>
      </c>
      <c r="O6" s="16">
        <f t="shared" ref="O6:O12" si="3">N6-M6</f>
        <v>475.19517208917659</v>
      </c>
      <c r="P6" s="143">
        <f>P23</f>
        <v>1901.3062023280006</v>
      </c>
      <c r="Q6" s="143">
        <f>Q23</f>
        <v>2404.0197926999999</v>
      </c>
      <c r="R6" s="16">
        <f t="shared" ref="R6:R12" si="4">Q6-P6</f>
        <v>502.71359037199932</v>
      </c>
      <c r="S6" s="16">
        <f>D6+G6+J6+M6+P6</f>
        <v>7152.8423449401334</v>
      </c>
      <c r="T6" s="16">
        <f>E6+H6+K6+N6+Q6</f>
        <v>8750.8529215229992</v>
      </c>
      <c r="U6" s="16">
        <f>F6+I6+L6+O6+R6</f>
        <v>1598.0105765828657</v>
      </c>
      <c r="V6" s="144">
        <f t="shared" ref="V6:V16" si="5">U6*$V$4</f>
        <v>1282.2436866500914</v>
      </c>
      <c r="W6" s="145">
        <f>U6*$W$4</f>
        <v>315.76688993277429</v>
      </c>
    </row>
    <row r="7" spans="1:24">
      <c r="A7" s="11" t="s">
        <v>21</v>
      </c>
      <c r="B7" s="12" t="s">
        <v>22</v>
      </c>
      <c r="C7" s="5" t="s">
        <v>20</v>
      </c>
      <c r="D7" s="143">
        <f>D28</f>
        <v>277.95329947596736</v>
      </c>
      <c r="E7" s="143">
        <f>E71*E39</f>
        <v>233.75211519629661</v>
      </c>
      <c r="F7" s="16">
        <f t="shared" si="0"/>
        <v>-44.201184279670741</v>
      </c>
      <c r="G7" s="143">
        <f>G28</f>
        <v>375.99659758132555</v>
      </c>
      <c r="H7" s="143">
        <f>H71*H39</f>
        <v>332.55259593283159</v>
      </c>
      <c r="I7" s="16">
        <f t="shared" si="1"/>
        <v>-43.444001648493952</v>
      </c>
      <c r="J7" s="143">
        <f>J28</f>
        <v>490.16644783043625</v>
      </c>
      <c r="K7" s="143">
        <f>K71*K39</f>
        <v>558.8621046900945</v>
      </c>
      <c r="L7" s="16">
        <f t="shared" si="2"/>
        <v>68.695656859658243</v>
      </c>
      <c r="M7" s="143">
        <f>M28</f>
        <v>610.10178296861636</v>
      </c>
      <c r="N7" s="143">
        <f>N71*N39</f>
        <v>565.30167934522888</v>
      </c>
      <c r="O7" s="16">
        <f t="shared" si="3"/>
        <v>-44.800103623387486</v>
      </c>
      <c r="P7" s="143">
        <f>P28</f>
        <v>729.98719237924638</v>
      </c>
      <c r="Q7" s="13">
        <f>Q71*Q39</f>
        <v>542.2807247429306</v>
      </c>
      <c r="R7" s="16">
        <f t="shared" si="4"/>
        <v>-187.70646763631578</v>
      </c>
      <c r="S7" s="16">
        <f t="shared" ref="S7:U12" si="6">D7+G7+J7+M7+P7</f>
        <v>2484.2053202355919</v>
      </c>
      <c r="T7" s="16">
        <f t="shared" si="6"/>
        <v>2232.7492199073822</v>
      </c>
      <c r="U7" s="16">
        <f t="shared" si="6"/>
        <v>-251.45610032820971</v>
      </c>
      <c r="V7" s="144">
        <f t="shared" si="5"/>
        <v>-201.76837490335546</v>
      </c>
      <c r="W7" s="145">
        <f t="shared" ref="W7:W16" si="7">U7*$W$4</f>
        <v>-49.687725424854236</v>
      </c>
    </row>
    <row r="8" spans="1:24">
      <c r="A8" s="11" t="s">
        <v>23</v>
      </c>
      <c r="B8" s="12" t="s">
        <v>24</v>
      </c>
      <c r="C8" s="5" t="s">
        <v>20</v>
      </c>
      <c r="D8" s="143">
        <f>D31</f>
        <v>497.25</v>
      </c>
      <c r="E8" s="143">
        <f>E31+222.2337824</f>
        <v>457.13711169999999</v>
      </c>
      <c r="F8" s="16">
        <f t="shared" si="0"/>
        <v>-40.112888300000009</v>
      </c>
      <c r="G8" s="143">
        <f>G31</f>
        <v>561.63</v>
      </c>
      <c r="H8" s="143">
        <f>H31+238.6053381</f>
        <v>544.5237535</v>
      </c>
      <c r="I8" s="16">
        <f t="shared" si="1"/>
        <v>-17.106246499999997</v>
      </c>
      <c r="J8" s="143">
        <f>J31</f>
        <v>634.64</v>
      </c>
      <c r="K8" s="143">
        <f>K31+263.7062938</f>
        <v>673.28044380000006</v>
      </c>
      <c r="L8" s="16">
        <f t="shared" si="2"/>
        <v>38.640443800000071</v>
      </c>
      <c r="M8" s="143">
        <f>M31</f>
        <v>704.56</v>
      </c>
      <c r="N8" s="143">
        <f>N31+148.5187567</f>
        <v>772.14393399999994</v>
      </c>
      <c r="O8" s="16">
        <f t="shared" si="3"/>
        <v>67.583933999999999</v>
      </c>
      <c r="P8" s="143">
        <f>P31</f>
        <v>774.49</v>
      </c>
      <c r="Q8" s="13">
        <v>855.80507590000002</v>
      </c>
      <c r="R8" s="16">
        <f t="shared" si="4"/>
        <v>81.315075900000011</v>
      </c>
      <c r="S8" s="16">
        <f t="shared" si="6"/>
        <v>3172.5699999999997</v>
      </c>
      <c r="T8" s="16">
        <f t="shared" si="6"/>
        <v>3302.8903189000002</v>
      </c>
      <c r="U8" s="16">
        <f t="shared" si="6"/>
        <v>130.32031890000007</v>
      </c>
      <c r="V8" s="144">
        <f t="shared" si="5"/>
        <v>104.56902388536005</v>
      </c>
      <c r="W8" s="145">
        <f t="shared" si="7"/>
        <v>25.751295014640014</v>
      </c>
      <c r="X8" s="146"/>
    </row>
    <row r="9" spans="1:24" s="18" customFormat="1">
      <c r="A9" s="11" t="s">
        <v>25</v>
      </c>
      <c r="B9" s="12" t="s">
        <v>26</v>
      </c>
      <c r="C9" s="5" t="s">
        <v>20</v>
      </c>
      <c r="D9" s="143">
        <v>14.4</v>
      </c>
      <c r="E9" s="143">
        <v>0</v>
      </c>
      <c r="F9" s="16">
        <f>E9-D9</f>
        <v>-14.4</v>
      </c>
      <c r="G9" s="143">
        <v>19.48</v>
      </c>
      <c r="H9" s="143">
        <v>0</v>
      </c>
      <c r="I9" s="16">
        <f>H9-G9</f>
        <v>-19.48</v>
      </c>
      <c r="J9" s="25">
        <v>25.39</v>
      </c>
      <c r="K9" s="25"/>
      <c r="L9" s="16">
        <f t="shared" si="2"/>
        <v>-25.39</v>
      </c>
      <c r="M9" s="25">
        <v>31.6</v>
      </c>
      <c r="N9" s="25"/>
      <c r="O9" s="16">
        <f t="shared" si="3"/>
        <v>-31.6</v>
      </c>
      <c r="P9" s="25">
        <v>37.81</v>
      </c>
      <c r="Q9" s="25">
        <v>0</v>
      </c>
      <c r="R9" s="16">
        <f t="shared" si="4"/>
        <v>-37.81</v>
      </c>
      <c r="S9" s="16">
        <f t="shared" si="6"/>
        <v>128.68</v>
      </c>
      <c r="T9" s="16">
        <f t="shared" si="6"/>
        <v>0</v>
      </c>
      <c r="U9" s="16">
        <f t="shared" si="6"/>
        <v>-128.68</v>
      </c>
      <c r="V9" s="144">
        <f t="shared" si="5"/>
        <v>-103.25283200000001</v>
      </c>
      <c r="W9" s="145">
        <f t="shared" si="7"/>
        <v>-25.427168000000002</v>
      </c>
    </row>
    <row r="10" spans="1:24" ht="24">
      <c r="A10" s="11" t="s">
        <v>27</v>
      </c>
      <c r="B10" s="12" t="s">
        <v>28</v>
      </c>
      <c r="C10" s="5" t="s">
        <v>20</v>
      </c>
      <c r="D10" s="143">
        <v>30</v>
      </c>
      <c r="E10" s="143">
        <v>0</v>
      </c>
      <c r="F10" s="16">
        <f>E10-D10</f>
        <v>-30</v>
      </c>
      <c r="G10" s="143">
        <v>35</v>
      </c>
      <c r="H10" s="143">
        <v>0</v>
      </c>
      <c r="I10" s="16">
        <f>H10-G10</f>
        <v>-35</v>
      </c>
      <c r="J10" s="25">
        <v>40</v>
      </c>
      <c r="K10" s="25">
        <v>0</v>
      </c>
      <c r="L10" s="16">
        <f t="shared" si="2"/>
        <v>-40</v>
      </c>
      <c r="M10" s="25">
        <v>45</v>
      </c>
      <c r="N10" s="25"/>
      <c r="O10" s="16">
        <f t="shared" si="3"/>
        <v>-45</v>
      </c>
      <c r="P10" s="25">
        <v>50</v>
      </c>
      <c r="Q10" s="25">
        <v>0</v>
      </c>
      <c r="R10" s="16">
        <f t="shared" si="4"/>
        <v>-50</v>
      </c>
      <c r="S10" s="16">
        <f t="shared" si="6"/>
        <v>200</v>
      </c>
      <c r="T10" s="16">
        <f t="shared" si="6"/>
        <v>0</v>
      </c>
      <c r="U10" s="16">
        <f t="shared" si="6"/>
        <v>-200</v>
      </c>
      <c r="V10" s="144">
        <f t="shared" si="5"/>
        <v>-160.47999999999999</v>
      </c>
      <c r="W10" s="145">
        <f t="shared" si="7"/>
        <v>-39.519999999999996</v>
      </c>
    </row>
    <row r="11" spans="1:24">
      <c r="A11" s="11" t="s">
        <v>29</v>
      </c>
      <c r="B11" s="12" t="s">
        <v>30</v>
      </c>
      <c r="C11" s="5" t="s">
        <v>20</v>
      </c>
      <c r="D11" s="143">
        <v>0.48</v>
      </c>
      <c r="E11" s="143">
        <v>1.0126999999999999</v>
      </c>
      <c r="F11" s="14">
        <f t="shared" si="0"/>
        <v>0.53269999999999995</v>
      </c>
      <c r="G11" s="143">
        <v>0.5</v>
      </c>
      <c r="H11" s="143">
        <v>5.66</v>
      </c>
      <c r="I11" s="14">
        <f t="shared" si="1"/>
        <v>5.16</v>
      </c>
      <c r="J11" s="25">
        <v>0.53</v>
      </c>
      <c r="K11" s="25">
        <v>9.6112985650000002</v>
      </c>
      <c r="L11" s="147">
        <f>K11-J11</f>
        <v>9.0812985650000009</v>
      </c>
      <c r="M11" s="25">
        <v>0.56000000000000005</v>
      </c>
      <c r="N11" s="25">
        <v>16.198366100000001</v>
      </c>
      <c r="O11" s="147">
        <f t="shared" si="3"/>
        <v>15.638366100000001</v>
      </c>
      <c r="P11" s="25">
        <v>0.59</v>
      </c>
      <c r="Q11" s="19">
        <v>21.693418300000005</v>
      </c>
      <c r="R11" s="16">
        <f t="shared" si="4"/>
        <v>21.103418300000005</v>
      </c>
      <c r="S11" s="16">
        <f t="shared" si="6"/>
        <v>2.66</v>
      </c>
      <c r="T11" s="16">
        <f t="shared" si="6"/>
        <v>54.17578296500001</v>
      </c>
      <c r="U11" s="16">
        <f t="shared" si="6"/>
        <v>51.515782965000007</v>
      </c>
      <c r="V11" s="144">
        <f t="shared" si="5"/>
        <v>41.336264251116006</v>
      </c>
      <c r="W11" s="145">
        <f t="shared" si="7"/>
        <v>10.179518713884001</v>
      </c>
    </row>
    <row r="12" spans="1:24">
      <c r="A12" s="20" t="s">
        <v>31</v>
      </c>
      <c r="B12" s="21" t="s">
        <v>32</v>
      </c>
      <c r="C12" s="22" t="s">
        <v>20</v>
      </c>
      <c r="D12" s="148">
        <f>SUM(D6:D11)</f>
        <v>1875.8232994759674</v>
      </c>
      <c r="E12" s="148">
        <f>SUM(E6:E11)</f>
        <v>2007.587566938297</v>
      </c>
      <c r="F12" s="148">
        <f t="shared" si="0"/>
        <v>131.7642674623296</v>
      </c>
      <c r="G12" s="148">
        <f>SUM(G6:G11)</f>
        <v>2156.8024234126683</v>
      </c>
      <c r="H12" s="148">
        <f>SUM(H6:H11)</f>
        <v>1963.5563494328314</v>
      </c>
      <c r="I12" s="148">
        <f t="shared" si="1"/>
        <v>-193.24607397983686</v>
      </c>
      <c r="J12" s="148">
        <f>SUM(J6:J11)</f>
        <v>2588.5254569004037</v>
      </c>
      <c r="K12" s="148">
        <f>SUM(K6:K11)</f>
        <v>3083.0848560360942</v>
      </c>
      <c r="L12" s="148">
        <f t="shared" si="2"/>
        <v>494.55939913569046</v>
      </c>
      <c r="M12" s="148">
        <f>SUM(M6:M11)</f>
        <v>3025.6230906794394</v>
      </c>
      <c r="N12" s="148">
        <f>SUM(N6:N11)</f>
        <v>3462.6404592452286</v>
      </c>
      <c r="O12" s="148">
        <f t="shared" si="3"/>
        <v>437.01736856578918</v>
      </c>
      <c r="P12" s="148">
        <f>SUM(P6:P11)</f>
        <v>3494.1833947072469</v>
      </c>
      <c r="Q12" s="148">
        <f>SUM(Q6:Q11)</f>
        <v>3823.7990116429305</v>
      </c>
      <c r="R12" s="148">
        <f t="shared" si="4"/>
        <v>329.61561693568365</v>
      </c>
      <c r="S12" s="148">
        <f>D12+G12+J12+M12+P12</f>
        <v>13140.957665175725</v>
      </c>
      <c r="T12" s="148">
        <f t="shared" si="6"/>
        <v>14340.668243295382</v>
      </c>
      <c r="U12" s="23">
        <f t="shared" si="6"/>
        <v>1199.710578119656</v>
      </c>
      <c r="V12" s="144">
        <f t="shared" si="5"/>
        <v>962.64776788321194</v>
      </c>
      <c r="W12" s="145">
        <f t="shared" si="7"/>
        <v>237.06281023644402</v>
      </c>
    </row>
    <row r="13" spans="1:24">
      <c r="A13" s="11"/>
      <c r="B13" s="12"/>
      <c r="C13" s="5"/>
      <c r="D13" s="149"/>
      <c r="E13" s="149"/>
      <c r="F13" s="150"/>
      <c r="G13" s="149"/>
      <c r="H13" s="149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44">
        <f t="shared" si="5"/>
        <v>0</v>
      </c>
      <c r="W13" s="145">
        <f t="shared" si="7"/>
        <v>0</v>
      </c>
    </row>
    <row r="14" spans="1:24">
      <c r="A14" s="11" t="s">
        <v>33</v>
      </c>
      <c r="B14" s="12" t="s">
        <v>34</v>
      </c>
      <c r="C14" s="5" t="s">
        <v>20</v>
      </c>
      <c r="D14" s="143">
        <f>D43</f>
        <v>241.3</v>
      </c>
      <c r="E14" s="143">
        <f>E43</f>
        <v>264.21378240000001</v>
      </c>
      <c r="F14" s="148">
        <f>E14-D14</f>
        <v>22.913782400000002</v>
      </c>
      <c r="G14" s="143">
        <f>G43</f>
        <v>326.16000000000003</v>
      </c>
      <c r="H14" s="143">
        <f>H43</f>
        <v>292.03533809999999</v>
      </c>
      <c r="I14" s="148">
        <f>H14-G14</f>
        <v>-34.124661900000035</v>
      </c>
      <c r="J14" s="143">
        <f>J43</f>
        <v>320.55</v>
      </c>
      <c r="K14" s="143">
        <f>K43</f>
        <v>323.4262938</v>
      </c>
      <c r="L14" s="148">
        <f t="shared" si="2"/>
        <v>2.8762937999999849</v>
      </c>
      <c r="M14" s="143">
        <f>M43</f>
        <v>362.72</v>
      </c>
      <c r="N14" s="143">
        <f>N43</f>
        <v>228.6944067</v>
      </c>
      <c r="O14" s="148">
        <f t="shared" ref="O14:O16" si="8">N14-M14</f>
        <v>-134.02559330000003</v>
      </c>
      <c r="P14" s="143">
        <f>P43</f>
        <v>395.46</v>
      </c>
      <c r="Q14" s="13">
        <f>Q43</f>
        <v>436.8427488741246</v>
      </c>
      <c r="R14" s="148">
        <f t="shared" ref="R14:R16" si="9">Q14-P14</f>
        <v>41.382748874124616</v>
      </c>
      <c r="S14" s="16">
        <f>D14+G14+J14+M14+P14</f>
        <v>1646.19</v>
      </c>
      <c r="T14" s="16">
        <f>E14+H14+K14+N14+Q14</f>
        <v>1545.2125698741247</v>
      </c>
      <c r="U14" s="16">
        <f>F14+I14+L14+O14+R14</f>
        <v>-100.97743012587546</v>
      </c>
      <c r="V14" s="144">
        <f t="shared" si="5"/>
        <v>-81.024289933002464</v>
      </c>
      <c r="W14" s="145">
        <f t="shared" si="7"/>
        <v>-19.95314019287299</v>
      </c>
    </row>
    <row r="15" spans="1:24">
      <c r="A15" s="11"/>
      <c r="B15" s="12"/>
      <c r="C15" s="5"/>
      <c r="D15" s="149"/>
      <c r="E15" s="143"/>
      <c r="F15" s="150"/>
      <c r="G15" s="143"/>
      <c r="H15" s="143"/>
      <c r="I15" s="150"/>
      <c r="J15" s="25"/>
      <c r="K15" s="25"/>
      <c r="L15" s="150"/>
      <c r="M15" s="25"/>
      <c r="N15" s="25"/>
      <c r="O15" s="150"/>
      <c r="P15" s="25"/>
      <c r="Q15" s="25"/>
      <c r="R15" s="150"/>
      <c r="S15" s="150"/>
      <c r="T15" s="150"/>
      <c r="U15" s="150"/>
      <c r="V15" s="144">
        <f t="shared" si="5"/>
        <v>0</v>
      </c>
      <c r="W15" s="145">
        <f t="shared" si="7"/>
        <v>0</v>
      </c>
    </row>
    <row r="16" spans="1:24">
      <c r="A16" s="20" t="s">
        <v>37</v>
      </c>
      <c r="B16" s="21" t="s">
        <v>38</v>
      </c>
      <c r="C16" s="22" t="s">
        <v>20</v>
      </c>
      <c r="D16" s="148">
        <f>D14</f>
        <v>241.3</v>
      </c>
      <c r="E16" s="148">
        <f>E14</f>
        <v>264.21378240000001</v>
      </c>
      <c r="F16" s="148">
        <f>E16-D16</f>
        <v>22.913782400000002</v>
      </c>
      <c r="G16" s="148">
        <f t="shared" ref="G16:H16" si="10">G14</f>
        <v>326.16000000000003</v>
      </c>
      <c r="H16" s="148">
        <f t="shared" si="10"/>
        <v>292.03533809999999</v>
      </c>
      <c r="I16" s="148">
        <f t="shared" ref="I16" si="11">H16-G16</f>
        <v>-34.124661900000035</v>
      </c>
      <c r="J16" s="148">
        <f t="shared" ref="J16:K16" si="12">J14</f>
        <v>320.55</v>
      </c>
      <c r="K16" s="148">
        <f t="shared" si="12"/>
        <v>323.4262938</v>
      </c>
      <c r="L16" s="148">
        <f t="shared" si="2"/>
        <v>2.8762937999999849</v>
      </c>
      <c r="M16" s="148">
        <f t="shared" ref="M16:N16" si="13">M14</f>
        <v>362.72</v>
      </c>
      <c r="N16" s="148">
        <f t="shared" si="13"/>
        <v>228.6944067</v>
      </c>
      <c r="O16" s="148">
        <f t="shared" si="8"/>
        <v>-134.02559330000003</v>
      </c>
      <c r="P16" s="148">
        <f t="shared" ref="P16:Q16" si="14">P14</f>
        <v>395.46</v>
      </c>
      <c r="Q16" s="148">
        <f t="shared" si="14"/>
        <v>436.8427488741246</v>
      </c>
      <c r="R16" s="148">
        <f t="shared" si="9"/>
        <v>41.382748874124616</v>
      </c>
      <c r="S16" s="148">
        <f>D16+G16+J16+M16+P16</f>
        <v>1646.19</v>
      </c>
      <c r="T16" s="148">
        <f t="shared" ref="T16:U16" si="15">E16+H16+K16+N16+Q16</f>
        <v>1545.2125698741247</v>
      </c>
      <c r="U16" s="148">
        <f t="shared" si="15"/>
        <v>-100.97743012587546</v>
      </c>
      <c r="V16" s="144">
        <f t="shared" si="5"/>
        <v>-81.024289933002464</v>
      </c>
      <c r="W16" s="145">
        <f t="shared" si="7"/>
        <v>-19.95314019287299</v>
      </c>
    </row>
    <row r="17" spans="1:25">
      <c r="A17" s="11"/>
      <c r="B17" s="12"/>
      <c r="C17" s="26"/>
      <c r="D17" s="151"/>
      <c r="E17" s="151"/>
      <c r="F17" s="150"/>
      <c r="G17" s="151"/>
      <c r="H17" s="151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2"/>
      <c r="W17" s="152"/>
    </row>
    <row r="18" spans="1:25">
      <c r="A18" s="20" t="s">
        <v>39</v>
      </c>
      <c r="B18" s="21" t="s">
        <v>40</v>
      </c>
      <c r="C18" s="22" t="s">
        <v>20</v>
      </c>
      <c r="D18" s="148">
        <f>D12-D16</f>
        <v>1634.5232994759674</v>
      </c>
      <c r="E18" s="148">
        <f>E12-E16</f>
        <v>1743.3737845382971</v>
      </c>
      <c r="F18" s="148">
        <f>E18-D18</f>
        <v>108.85048506232965</v>
      </c>
      <c r="G18" s="148">
        <f>G12-G16</f>
        <v>1830.6424234126682</v>
      </c>
      <c r="H18" s="148">
        <f>H12-H16</f>
        <v>1671.5210113328314</v>
      </c>
      <c r="I18" s="148">
        <f>H18-G18</f>
        <v>-159.12141207983677</v>
      </c>
      <c r="J18" s="148">
        <f>J12-J16</f>
        <v>2267.9754569004035</v>
      </c>
      <c r="K18" s="148">
        <f>K12-K16</f>
        <v>2759.658562236094</v>
      </c>
      <c r="L18" s="148">
        <f t="shared" si="2"/>
        <v>491.68310533569047</v>
      </c>
      <c r="M18" s="148">
        <f>M12-M16</f>
        <v>2662.9030906794396</v>
      </c>
      <c r="N18" s="148">
        <f>N12-N16</f>
        <v>3233.9460525452287</v>
      </c>
      <c r="O18" s="148">
        <f>N18-M18</f>
        <v>571.04296186578904</v>
      </c>
      <c r="P18" s="148">
        <f>P12-P16</f>
        <v>3098.7233947072468</v>
      </c>
      <c r="Q18" s="23">
        <f>Q12-Q16</f>
        <v>3386.956262768806</v>
      </c>
      <c r="R18" s="148">
        <f>Q18-P18</f>
        <v>288.2328680615592</v>
      </c>
      <c r="S18" s="16">
        <f>D18+G18+J18+M18+P18</f>
        <v>11494.767665175727</v>
      </c>
      <c r="T18" s="16">
        <f t="shared" ref="T18:U18" si="16">E18+H18+K18+N18+Q18</f>
        <v>12795.455673421258</v>
      </c>
      <c r="U18" s="14">
        <f t="shared" si="16"/>
        <v>1300.6880082455316</v>
      </c>
      <c r="V18" s="144">
        <f>U18*$V$4</f>
        <v>1043.6720578162146</v>
      </c>
      <c r="W18" s="145">
        <f>W4*$U$18</f>
        <v>257.01595042931706</v>
      </c>
      <c r="Y18" s="153"/>
    </row>
    <row r="19" spans="1:25" hidden="1">
      <c r="A19" s="11"/>
      <c r="B19" s="12" t="s">
        <v>41</v>
      </c>
      <c r="C19" s="26"/>
      <c r="D19" s="29"/>
      <c r="E19" s="29"/>
      <c r="F19" s="29"/>
      <c r="G19" s="29"/>
      <c r="H19" s="29"/>
      <c r="I19" s="29">
        <f>852.615</f>
        <v>852.61500000000001</v>
      </c>
      <c r="J19" s="30">
        <f>H71*0.75*H37</f>
        <v>221.65294451112385</v>
      </c>
      <c r="K19" s="30">
        <f>I19-J19</f>
        <v>630.9620554888761</v>
      </c>
      <c r="L19" s="29">
        <f>1033.25</f>
        <v>1033.25</v>
      </c>
      <c r="M19" s="30">
        <f>K71*0.75*K37</f>
        <v>413.10449264843635</v>
      </c>
      <c r="N19" s="30">
        <f>L19-M19</f>
        <v>620.14550735156365</v>
      </c>
      <c r="O19" s="29">
        <v>948.54</v>
      </c>
      <c r="P19" s="30">
        <f>N71*0.75*N37</f>
        <v>405.18897879996052</v>
      </c>
      <c r="Q19" s="30">
        <f>O19-P19</f>
        <v>543.35102120003944</v>
      </c>
      <c r="R19" s="24"/>
      <c r="V19" s="91"/>
    </row>
    <row r="20" spans="1:25">
      <c r="A20" s="31"/>
      <c r="B20" s="32"/>
      <c r="C20" s="33"/>
      <c r="D20" s="34"/>
      <c r="E20" s="34"/>
      <c r="F20" s="34"/>
      <c r="G20" s="34"/>
      <c r="H20" s="34"/>
      <c r="I20" s="34"/>
      <c r="J20" s="35"/>
      <c r="K20" s="35"/>
      <c r="L20" s="36"/>
      <c r="M20" s="35"/>
      <c r="N20" s="35"/>
      <c r="O20" s="36"/>
      <c r="P20" s="35"/>
      <c r="Q20" s="35"/>
      <c r="R20" s="36"/>
    </row>
    <row r="21" spans="1:25" ht="24">
      <c r="A21" s="11"/>
      <c r="B21" s="12" t="s">
        <v>109</v>
      </c>
      <c r="C21" s="26"/>
      <c r="D21" s="29"/>
      <c r="E21" s="29"/>
      <c r="F21" s="29"/>
      <c r="G21" s="29"/>
      <c r="H21" s="29"/>
      <c r="I21" s="29"/>
      <c r="J21" s="30"/>
      <c r="K21" s="30"/>
      <c r="L21" s="24"/>
      <c r="M21" s="30"/>
      <c r="N21" s="30"/>
      <c r="O21" s="24"/>
      <c r="P21" s="30"/>
      <c r="Q21" s="30"/>
      <c r="R21" s="24"/>
    </row>
    <row r="22" spans="1:25">
      <c r="A22" s="11"/>
      <c r="B22" s="12"/>
      <c r="C22" s="26"/>
      <c r="D22" s="29"/>
      <c r="E22" s="29"/>
      <c r="F22" s="29"/>
      <c r="G22" s="29"/>
      <c r="H22" s="29"/>
      <c r="I22" s="29"/>
      <c r="J22" s="30"/>
      <c r="K22" s="30"/>
      <c r="L22" s="24"/>
      <c r="M22" s="30"/>
      <c r="N22" s="30"/>
      <c r="O22" s="24"/>
      <c r="P22" s="30"/>
      <c r="Q22" s="30"/>
      <c r="R22" s="24"/>
    </row>
    <row r="23" spans="1:25" ht="24">
      <c r="A23" s="11"/>
      <c r="B23" s="12" t="s">
        <v>42</v>
      </c>
      <c r="C23" s="154" t="s">
        <v>20</v>
      </c>
      <c r="D23" s="155">
        <f>SUM(D24:D26)</f>
        <v>1055.74</v>
      </c>
      <c r="E23" s="155">
        <f>SUM(E24:E26)</f>
        <v>1315.6856400420002</v>
      </c>
      <c r="F23" s="155">
        <f>E23-D23</f>
        <v>259.94564004200015</v>
      </c>
      <c r="G23" s="155">
        <f t="shared" ref="G23:H23" si="17">SUM(G24:G26)</f>
        <v>1164.1958258313425</v>
      </c>
      <c r="H23" s="155">
        <f t="shared" si="17"/>
        <v>1080.82</v>
      </c>
      <c r="I23" s="155">
        <f t="shared" ref="I23" si="18">H23-G23</f>
        <v>-83.375825831342581</v>
      </c>
      <c r="J23" s="155">
        <f t="shared" ref="J23:K23" si="19">SUM(J24:J26)</f>
        <v>1397.7990090699673</v>
      </c>
      <c r="K23" s="155">
        <f t="shared" si="19"/>
        <v>1841.3310089809995</v>
      </c>
      <c r="L23" s="155">
        <f t="shared" ref="L23" si="20">K23-J23</f>
        <v>443.53199991103224</v>
      </c>
      <c r="M23" s="155">
        <f t="shared" ref="M23:N23" si="21">SUM(M24:M26)</f>
        <v>1633.8013077108235</v>
      </c>
      <c r="N23" s="155">
        <f t="shared" si="21"/>
        <v>2108.9964798000001</v>
      </c>
      <c r="O23" s="155">
        <f t="shared" ref="O23" si="22">N23-M23</f>
        <v>475.19517208917659</v>
      </c>
      <c r="P23" s="155">
        <f t="shared" ref="P23" si="23">SUM(P24:P26)</f>
        <v>1901.3062023280006</v>
      </c>
      <c r="Q23" s="155">
        <f>SUM(Q24:Q26)</f>
        <v>2404.0197926999999</v>
      </c>
      <c r="R23" s="155">
        <f t="shared" ref="R23" si="24">Q23-P23</f>
        <v>502.71359037199932</v>
      </c>
    </row>
    <row r="24" spans="1:25">
      <c r="A24" s="11"/>
      <c r="B24" s="41" t="s">
        <v>43</v>
      </c>
      <c r="C24" s="26" t="s">
        <v>20</v>
      </c>
      <c r="D24" s="42">
        <f>D76-D79</f>
        <v>725.08</v>
      </c>
      <c r="E24" s="42">
        <v>990.10398730100007</v>
      </c>
      <c r="F24" s="156">
        <f>E24-D24</f>
        <v>265.02398730100003</v>
      </c>
      <c r="G24" s="42">
        <f>G76-G79</f>
        <v>771.72664199608994</v>
      </c>
      <c r="H24" s="42">
        <v>719.81</v>
      </c>
      <c r="I24" s="156">
        <f>H24-G24</f>
        <v>-51.916641996089993</v>
      </c>
      <c r="J24" s="42">
        <f>J76-J79</f>
        <v>934.92992766237148</v>
      </c>
      <c r="K24" s="157">
        <v>1386.8766509489997</v>
      </c>
      <c r="L24" s="158">
        <f>K24-J24</f>
        <v>451.94672328662818</v>
      </c>
      <c r="M24" s="42">
        <f>M76-M79</f>
        <v>1097.6781633652693</v>
      </c>
      <c r="N24" s="157">
        <v>1803.7803016</v>
      </c>
      <c r="O24" s="158">
        <f>N24-M24</f>
        <v>706.10213823473077</v>
      </c>
      <c r="P24" s="42">
        <f>P76-P79</f>
        <v>1285.4272585662984</v>
      </c>
      <c r="Q24" s="157">
        <v>2134.8587871</v>
      </c>
      <c r="R24" s="158">
        <f>Q24-P24</f>
        <v>849.43152853370157</v>
      </c>
      <c r="S24" s="148">
        <f>D24+G24+J24+M24+P24</f>
        <v>4814.8419915900295</v>
      </c>
      <c r="T24" s="148">
        <f t="shared" ref="T24:U26" si="25">E24+H24+K24+N24+Q24</f>
        <v>7035.4297269499993</v>
      </c>
      <c r="U24" s="148">
        <f t="shared" si="25"/>
        <v>2220.5877353599708</v>
      </c>
    </row>
    <row r="25" spans="1:25">
      <c r="A25" s="11"/>
      <c r="B25" s="41" t="s">
        <v>44</v>
      </c>
      <c r="C25" s="26" t="s">
        <v>20</v>
      </c>
      <c r="D25" s="42">
        <f>D77</f>
        <v>248.11</v>
      </c>
      <c r="E25" s="42">
        <v>75.242509834000003</v>
      </c>
      <c r="F25" s="156">
        <f t="shared" ref="F25:F26" si="26">E25-D25</f>
        <v>-172.86749016600001</v>
      </c>
      <c r="G25" s="42">
        <f>G77</f>
        <v>231.26374097810236</v>
      </c>
      <c r="H25" s="42">
        <v>88.07</v>
      </c>
      <c r="I25" s="156">
        <f t="shared" ref="I25:I26" si="27">H25-G25</f>
        <v>-143.19374097810237</v>
      </c>
      <c r="J25" s="42">
        <f>J77</f>
        <v>274.0594470957036</v>
      </c>
      <c r="K25" s="157">
        <v>315.60736694799999</v>
      </c>
      <c r="L25" s="158">
        <f>K25-J25</f>
        <v>41.547919852296388</v>
      </c>
      <c r="M25" s="42">
        <f>M77</f>
        <v>317.54186030503303</v>
      </c>
      <c r="N25" s="157">
        <v>196.55569749999998</v>
      </c>
      <c r="O25" s="158">
        <f>N25-M25</f>
        <v>-120.98616280503305</v>
      </c>
      <c r="P25" s="42">
        <f>P77</f>
        <v>366.68624585663252</v>
      </c>
      <c r="Q25" s="157">
        <v>142.50530620000001</v>
      </c>
      <c r="R25" s="158">
        <f>Q25-P25</f>
        <v>-224.18093965663252</v>
      </c>
      <c r="S25" s="148">
        <f>D25+G25+J25+M25+P25</f>
        <v>1437.6612942354714</v>
      </c>
      <c r="T25" s="148">
        <f t="shared" si="25"/>
        <v>817.98088048199998</v>
      </c>
      <c r="U25" s="148">
        <f t="shared" si="25"/>
        <v>-619.68041375347161</v>
      </c>
    </row>
    <row r="26" spans="1:25">
      <c r="A26" s="11"/>
      <c r="B26" s="41" t="s">
        <v>45</v>
      </c>
      <c r="C26" s="26" t="s">
        <v>20</v>
      </c>
      <c r="D26" s="42">
        <f>D78</f>
        <v>82.55</v>
      </c>
      <c r="E26" s="42">
        <v>250.33914290700002</v>
      </c>
      <c r="F26" s="156">
        <f t="shared" si="26"/>
        <v>167.78914290700004</v>
      </c>
      <c r="G26" s="42">
        <f>G78</f>
        <v>161.20544285715033</v>
      </c>
      <c r="H26" s="42">
        <v>272.94</v>
      </c>
      <c r="I26" s="156">
        <f t="shared" si="27"/>
        <v>111.73455714284967</v>
      </c>
      <c r="J26" s="42">
        <f>J78</f>
        <v>188.80963431189221</v>
      </c>
      <c r="K26" s="157">
        <v>138.84699108399997</v>
      </c>
      <c r="L26" s="158">
        <f>K26-J26</f>
        <v>-49.962643227892244</v>
      </c>
      <c r="M26" s="42">
        <f>M78</f>
        <v>218.58128404052127</v>
      </c>
      <c r="N26" s="157">
        <v>108.66048069999999</v>
      </c>
      <c r="O26" s="158">
        <f>N26-M26</f>
        <v>-109.92080334052127</v>
      </c>
      <c r="P26" s="42">
        <f>P78</f>
        <v>249.19269790506979</v>
      </c>
      <c r="Q26" s="157">
        <v>126.6556994</v>
      </c>
      <c r="R26" s="158">
        <f>Q26-P26</f>
        <v>-122.53699850506979</v>
      </c>
      <c r="S26" s="148">
        <f>D26+G26+J26+M26+P26</f>
        <v>900.33905911463353</v>
      </c>
      <c r="T26" s="148">
        <f t="shared" si="25"/>
        <v>897.44231409099996</v>
      </c>
      <c r="U26" s="148">
        <f t="shared" si="25"/>
        <v>-2.8967450236335992</v>
      </c>
    </row>
    <row r="27" spans="1:25">
      <c r="A27" s="11"/>
      <c r="B27" s="12"/>
      <c r="C27" s="26"/>
      <c r="D27" s="42"/>
      <c r="E27" s="42"/>
      <c r="F27" s="42"/>
      <c r="G27" s="29"/>
      <c r="H27" s="29"/>
      <c r="I27" s="29"/>
      <c r="J27" s="30"/>
      <c r="K27" s="30"/>
      <c r="L27" s="24"/>
      <c r="M27" s="30"/>
      <c r="N27" s="30"/>
      <c r="O27" s="24"/>
      <c r="P27" s="30"/>
      <c r="Q27" s="30"/>
      <c r="R27" s="24"/>
    </row>
    <row r="28" spans="1:25">
      <c r="A28" s="11"/>
      <c r="B28" s="12" t="s">
        <v>22</v>
      </c>
      <c r="C28" s="5" t="s">
        <v>20</v>
      </c>
      <c r="D28" s="37">
        <f>D34*D39</f>
        <v>277.95329947596736</v>
      </c>
      <c r="E28" s="37">
        <f>E34*E39</f>
        <v>233.75211519629661</v>
      </c>
      <c r="F28" s="155">
        <f>E28-D28</f>
        <v>-44.201184279670741</v>
      </c>
      <c r="G28" s="37">
        <f>G34*G39</f>
        <v>375.99659758132555</v>
      </c>
      <c r="H28" s="37">
        <f>H34*H39</f>
        <v>332.55259593283159</v>
      </c>
      <c r="I28" s="37">
        <f>H28-G28</f>
        <v>-43.444001648493952</v>
      </c>
      <c r="J28" s="37">
        <f>J34*J39</f>
        <v>490.16644783043625</v>
      </c>
      <c r="K28" s="37">
        <f>K34*K39</f>
        <v>558.8621046900945</v>
      </c>
      <c r="L28" s="37">
        <f>K28-J28</f>
        <v>68.695656859658243</v>
      </c>
      <c r="M28" s="37">
        <f>M34*M39</f>
        <v>610.10178296861636</v>
      </c>
      <c r="N28" s="37">
        <f>N34*N39</f>
        <v>565.30167934522888</v>
      </c>
      <c r="O28" s="37">
        <f>N28-M28</f>
        <v>-44.800103623387486</v>
      </c>
      <c r="P28" s="37">
        <f>P34*P39</f>
        <v>729.98719237924638</v>
      </c>
      <c r="Q28" s="37">
        <f>Q34*Q39</f>
        <v>542.2807247429306</v>
      </c>
      <c r="R28" s="37">
        <f>Q28-P28</f>
        <v>-187.70646763631578</v>
      </c>
      <c r="S28" s="159">
        <f>D28+G28+J28+M28+P28</f>
        <v>2484.2053202355919</v>
      </c>
      <c r="T28" s="159">
        <f t="shared" ref="T28:U28" si="28">E28+H28+K28+N28+Q28</f>
        <v>2232.7492199073822</v>
      </c>
      <c r="U28" s="159">
        <f t="shared" si="28"/>
        <v>-251.45610032820971</v>
      </c>
    </row>
    <row r="29" spans="1:25">
      <c r="A29" s="11"/>
      <c r="B29" s="12"/>
      <c r="C29" s="26"/>
      <c r="D29" s="42"/>
      <c r="E29" s="42"/>
      <c r="F29" s="42"/>
      <c r="G29" s="29"/>
      <c r="H29" s="29"/>
      <c r="I29" s="29"/>
      <c r="J29" s="30"/>
      <c r="K29" s="30"/>
      <c r="L29" s="24"/>
      <c r="M29" s="30"/>
      <c r="N29" s="30"/>
      <c r="O29" s="24"/>
      <c r="P29" s="30"/>
      <c r="Q29" s="30"/>
      <c r="R29" s="24"/>
    </row>
    <row r="30" spans="1:25">
      <c r="A30" s="11"/>
      <c r="B30" s="41"/>
      <c r="C30" s="26"/>
      <c r="D30" s="42"/>
      <c r="E30" s="42"/>
      <c r="F30" s="42"/>
      <c r="G30" s="29"/>
      <c r="H30" s="29"/>
      <c r="I30" s="29"/>
      <c r="J30" s="30"/>
      <c r="K30" s="30"/>
      <c r="L30" s="24"/>
      <c r="M30" s="30"/>
      <c r="N30" s="30"/>
      <c r="O30" s="24"/>
      <c r="P30" s="30"/>
      <c r="Q30" s="30"/>
      <c r="R30" s="24"/>
    </row>
    <row r="31" spans="1:25" ht="24">
      <c r="A31" s="11"/>
      <c r="B31" s="12" t="s">
        <v>108</v>
      </c>
      <c r="C31" s="5" t="s">
        <v>20</v>
      </c>
      <c r="D31" s="48">
        <v>497.25</v>
      </c>
      <c r="E31" s="48">
        <v>234.9033293</v>
      </c>
      <c r="F31" s="160">
        <f>E31-D31</f>
        <v>-262.3466707</v>
      </c>
      <c r="G31" s="48">
        <v>561.63</v>
      </c>
      <c r="H31" s="48">
        <v>305.91841539999996</v>
      </c>
      <c r="I31" s="160">
        <f t="shared" ref="I31" si="29">H31-G31</f>
        <v>-255.71158460000004</v>
      </c>
      <c r="J31" s="48">
        <v>634.64</v>
      </c>
      <c r="K31" s="48">
        <v>409.57414999999997</v>
      </c>
      <c r="L31" s="160">
        <f t="shared" ref="L31" si="30">K31-J31</f>
        <v>-225.06585000000001</v>
      </c>
      <c r="M31" s="48">
        <v>704.56</v>
      </c>
      <c r="N31" s="48">
        <f>772.143934-148.5187567</f>
        <v>623.6251772999999</v>
      </c>
      <c r="O31" s="160">
        <f t="shared" ref="O31" si="31">N31-M31</f>
        <v>-80.934822700000041</v>
      </c>
      <c r="P31" s="48">
        <v>774.49</v>
      </c>
      <c r="Q31" s="48">
        <f>Q64</f>
        <v>537.19077665300006</v>
      </c>
      <c r="R31" s="160">
        <f t="shared" ref="R31" si="32">Q31-P31</f>
        <v>-237.29922334699995</v>
      </c>
    </row>
    <row r="32" spans="1:25">
      <c r="A32" s="11"/>
      <c r="B32" s="12"/>
      <c r="C32" s="5"/>
      <c r="D32" s="37"/>
      <c r="E32" s="48"/>
      <c r="F32" s="37"/>
      <c r="G32" s="38"/>
      <c r="H32" s="38"/>
      <c r="I32" s="38"/>
      <c r="J32" s="24"/>
      <c r="K32" s="24"/>
      <c r="L32" s="24"/>
      <c r="M32" s="24"/>
      <c r="N32" s="24"/>
      <c r="O32" s="24"/>
      <c r="P32" s="24"/>
      <c r="Q32" s="24"/>
      <c r="R32" s="24"/>
    </row>
    <row r="33" spans="1:21">
      <c r="A33" s="11"/>
      <c r="B33" s="12"/>
      <c r="C33" s="26"/>
      <c r="D33" s="42"/>
      <c r="E33" s="42"/>
      <c r="F33" s="42"/>
      <c r="G33" s="29"/>
      <c r="H33" s="29"/>
      <c r="I33" s="29"/>
      <c r="J33" s="30"/>
      <c r="K33" s="30"/>
      <c r="L33" s="24"/>
      <c r="M33" s="30"/>
      <c r="N33" s="30"/>
      <c r="O33" s="24"/>
      <c r="P33" s="30"/>
      <c r="Q33" s="30"/>
      <c r="R33" s="24"/>
    </row>
    <row r="34" spans="1:21">
      <c r="A34" s="11"/>
      <c r="B34" s="12" t="s">
        <v>46</v>
      </c>
      <c r="C34" s="5" t="s">
        <v>20</v>
      </c>
      <c r="D34" s="48">
        <f>D71</f>
        <v>2223.6263958077388</v>
      </c>
      <c r="E34" s="48">
        <f>E71</f>
        <v>2380.060116760566</v>
      </c>
      <c r="F34" s="162">
        <f>E34-D34</f>
        <v>156.43372095282712</v>
      </c>
      <c r="G34" s="48">
        <f>G71</f>
        <v>3007.9727806506044</v>
      </c>
      <c r="H34" s="48">
        <f>H71</f>
        <v>3168.5614691916489</v>
      </c>
      <c r="I34" s="162">
        <f>H34-G34</f>
        <v>160.58868854104458</v>
      </c>
      <c r="J34" s="48">
        <f>J71</f>
        <v>3921.33158264349</v>
      </c>
      <c r="K34" s="48">
        <f>K71</f>
        <v>4164.5032011902331</v>
      </c>
      <c r="L34" s="162">
        <f>K34-J34</f>
        <v>243.17161854674305</v>
      </c>
      <c r="M34" s="48">
        <f>M71</f>
        <v>4880.8142637489309</v>
      </c>
      <c r="N34" s="48">
        <f>N71</f>
        <v>4574.6485870076649</v>
      </c>
      <c r="O34" s="162">
        <f>N34-M34</f>
        <v>-306.165676741266</v>
      </c>
      <c r="P34" s="48">
        <f>P71</f>
        <v>5839.897539033971</v>
      </c>
      <c r="Q34" s="48">
        <f>Q71</f>
        <v>4774.6694208315448</v>
      </c>
      <c r="R34" s="162">
        <f>Q34-P34</f>
        <v>-1065.2281182024262</v>
      </c>
    </row>
    <row r="35" spans="1:21">
      <c r="A35" s="11"/>
      <c r="B35" s="41" t="s">
        <v>47</v>
      </c>
      <c r="C35" s="26" t="s">
        <v>20</v>
      </c>
      <c r="D35" s="43">
        <f>D70</f>
        <v>235.14317944918403</v>
      </c>
      <c r="E35" s="43">
        <f>E70</f>
        <v>226.47947380000005</v>
      </c>
      <c r="F35" s="163">
        <f>E35-D35</f>
        <v>-8.6637056491839814</v>
      </c>
      <c r="G35" s="43">
        <f>G70</f>
        <v>316.83496660261858</v>
      </c>
      <c r="H35" s="43">
        <f>H70</f>
        <v>578.84523379999996</v>
      </c>
      <c r="I35" s="163">
        <f>H35-G35</f>
        <v>262.01026719738138</v>
      </c>
      <c r="J35" s="43">
        <f>J70</f>
        <v>342.18645743211187</v>
      </c>
      <c r="K35" s="43">
        <f>K70</f>
        <v>353.87807641699976</v>
      </c>
      <c r="L35" s="163">
        <f>K35-J35</f>
        <v>11.691618984887896</v>
      </c>
      <c r="M35" s="43">
        <f>M70</f>
        <v>326.16801428655646</v>
      </c>
      <c r="N35" s="43">
        <f>N70</f>
        <v>33.38079765000009</v>
      </c>
      <c r="O35" s="163">
        <f>N35-M35</f>
        <v>-292.78721663655637</v>
      </c>
      <c r="P35" s="43">
        <f>P70</f>
        <v>298.62157254386011</v>
      </c>
      <c r="Q35" s="43">
        <f>Q70</f>
        <v>139.99206616554522</v>
      </c>
      <c r="R35" s="163">
        <f>Q35-P35</f>
        <v>-158.62950637831489</v>
      </c>
    </row>
    <row r="36" spans="1:21">
      <c r="A36" s="11"/>
      <c r="B36" s="12"/>
      <c r="C36" s="26"/>
      <c r="D36" s="42"/>
      <c r="E36" s="43"/>
      <c r="F36" s="42"/>
      <c r="G36" s="29"/>
      <c r="H36" s="161"/>
      <c r="I36" s="29"/>
      <c r="J36" s="30"/>
      <c r="K36" s="164"/>
      <c r="L36" s="24"/>
      <c r="M36" s="30"/>
      <c r="N36" s="164"/>
      <c r="O36" s="24"/>
      <c r="P36" s="30"/>
      <c r="Q36" s="164"/>
      <c r="R36" s="24"/>
    </row>
    <row r="37" spans="1:21">
      <c r="A37" s="11"/>
      <c r="B37" s="41" t="s">
        <v>48</v>
      </c>
      <c r="C37" s="26" t="s">
        <v>49</v>
      </c>
      <c r="D37" s="165">
        <v>0.12</v>
      </c>
      <c r="E37" s="165">
        <v>8.4283591578322617E-2</v>
      </c>
      <c r="F37" s="166">
        <f>E37-D37</f>
        <v>-3.5716408421677379E-2</v>
      </c>
      <c r="G37" s="165">
        <v>0.12</v>
      </c>
      <c r="H37" s="165">
        <v>9.3271745623909719E-2</v>
      </c>
      <c r="I37" s="167">
        <f>H37-G37</f>
        <v>-2.6728254376090277E-2</v>
      </c>
      <c r="J37" s="165">
        <v>0.12</v>
      </c>
      <c r="K37" s="165">
        <v>0.13226211233082794</v>
      </c>
      <c r="L37" s="167">
        <f>K37-J37</f>
        <v>1.226211233082794E-2</v>
      </c>
      <c r="M37" s="165">
        <v>0.12</v>
      </c>
      <c r="N37" s="165">
        <v>0.11809693388638323</v>
      </c>
      <c r="O37" s="167">
        <f>N37-M37</f>
        <v>-1.9030661136167637E-3</v>
      </c>
      <c r="P37" s="165">
        <v>0.12</v>
      </c>
      <c r="Q37" s="50">
        <v>0.1047660091054676</v>
      </c>
      <c r="R37" s="167">
        <f>Q37-P37</f>
        <v>-1.5233990894532395E-2</v>
      </c>
    </row>
    <row r="38" spans="1:21">
      <c r="A38" s="11"/>
      <c r="B38" s="41" t="s">
        <v>50</v>
      </c>
      <c r="C38" s="26" t="s">
        <v>49</v>
      </c>
      <c r="D38" s="50">
        <v>0.14000000000000001</v>
      </c>
      <c r="E38" s="50">
        <v>0.14000000000000001</v>
      </c>
      <c r="F38" s="168">
        <f>E38-D38</f>
        <v>0</v>
      </c>
      <c r="G38" s="52">
        <v>0.14000000000000001</v>
      </c>
      <c r="H38" s="52">
        <v>0.14000000000000001</v>
      </c>
      <c r="I38" s="169">
        <f>H38-G38</f>
        <v>0</v>
      </c>
      <c r="J38" s="52">
        <v>0.14000000000000001</v>
      </c>
      <c r="K38" s="52">
        <v>0.14000000000000001</v>
      </c>
      <c r="L38" s="169">
        <f>K38-J38</f>
        <v>0</v>
      </c>
      <c r="M38" s="52">
        <v>0.14000000000000001</v>
      </c>
      <c r="N38" s="52">
        <f>M38</f>
        <v>0.14000000000000001</v>
      </c>
      <c r="O38" s="169">
        <f>N38-M38</f>
        <v>0</v>
      </c>
      <c r="P38" s="52">
        <v>0.14000000000000001</v>
      </c>
      <c r="Q38" s="52">
        <f>P38</f>
        <v>0.14000000000000001</v>
      </c>
      <c r="R38" s="169">
        <f>Q38-P38</f>
        <v>0</v>
      </c>
    </row>
    <row r="39" spans="1:21">
      <c r="A39" s="11"/>
      <c r="B39" s="12" t="s">
        <v>51</v>
      </c>
      <c r="C39" s="5" t="s">
        <v>49</v>
      </c>
      <c r="D39" s="170">
        <f>($C$47*D37)+($C$48*D38)</f>
        <v>0.125</v>
      </c>
      <c r="E39" s="170">
        <f>(E47*E37)+(E48*E38)</f>
        <v>9.821269368374197E-2</v>
      </c>
      <c r="F39" s="170">
        <f>E39-D39</f>
        <v>-2.678730631625803E-2</v>
      </c>
      <c r="G39" s="171">
        <f>($C$47*G37)+($C$48*G38)</f>
        <v>0.125</v>
      </c>
      <c r="H39" s="170">
        <f>(H47*H37)+(H48*H38)</f>
        <v>0.10495380921793229</v>
      </c>
      <c r="I39" s="171">
        <f>H39-G39</f>
        <v>-2.0046190782067708E-2</v>
      </c>
      <c r="J39" s="171">
        <f>($C$47*J37)+($C$48*J38)</f>
        <v>0.125</v>
      </c>
      <c r="K39" s="170">
        <f>(K47*K37)+(K48*K38)</f>
        <v>0.13419658424812095</v>
      </c>
      <c r="L39" s="171">
        <f>K39-J39</f>
        <v>9.1965842481209481E-3</v>
      </c>
      <c r="M39" s="171">
        <f>($C$47*M37)+($C$48*M38)</f>
        <v>0.125</v>
      </c>
      <c r="N39" s="170">
        <f>(N47*N37)+(N48*N38)</f>
        <v>0.12357270041478743</v>
      </c>
      <c r="O39" s="171">
        <f>N39-M39</f>
        <v>-1.4272995852125658E-3</v>
      </c>
      <c r="P39" s="171">
        <f>($C$47*P37)+($C$48*P38)</f>
        <v>0.125</v>
      </c>
      <c r="Q39" s="51">
        <f>(Q47*Q37)+(Q48*Q38)</f>
        <v>0.1135745068291007</v>
      </c>
      <c r="R39" s="171">
        <f>Q39-P39</f>
        <v>-1.1425493170899303E-2</v>
      </c>
    </row>
    <row r="40" spans="1:21">
      <c r="A40" s="11"/>
      <c r="B40" s="41"/>
      <c r="C40" s="26"/>
      <c r="D40" s="42"/>
      <c r="E40" s="42"/>
      <c r="F40" s="42"/>
      <c r="G40" s="29"/>
      <c r="H40" s="29"/>
      <c r="I40" s="29"/>
      <c r="J40" s="30"/>
      <c r="K40" s="30"/>
      <c r="L40" s="24"/>
      <c r="M40" s="30"/>
      <c r="N40" s="30"/>
      <c r="O40" s="24"/>
      <c r="P40" s="30"/>
      <c r="Q40" s="30"/>
      <c r="R40" s="24"/>
    </row>
    <row r="41" spans="1:21">
      <c r="A41" s="11"/>
      <c r="B41" s="12" t="s">
        <v>34</v>
      </c>
      <c r="C41" s="5" t="s">
        <v>52</v>
      </c>
      <c r="D41" s="155">
        <f>SUM(D42:D43)</f>
        <v>1875.83</v>
      </c>
      <c r="E41" s="155">
        <f t="shared" ref="E41:R41" si="33">SUM(E42:E43)</f>
        <v>1898.7437823999999</v>
      </c>
      <c r="F41" s="155">
        <f t="shared" si="33"/>
        <v>22.913782400000002</v>
      </c>
      <c r="G41" s="155">
        <f t="shared" si="33"/>
        <v>2156.8000000000002</v>
      </c>
      <c r="H41" s="155">
        <f t="shared" si="33"/>
        <v>2122.6753380999999</v>
      </c>
      <c r="I41" s="155">
        <f t="shared" si="33"/>
        <v>-34.124661900000035</v>
      </c>
      <c r="J41" s="155">
        <f t="shared" si="33"/>
        <v>2588.5300000000002</v>
      </c>
      <c r="K41" s="155">
        <f t="shared" si="33"/>
        <v>2591.4062938000002</v>
      </c>
      <c r="L41" s="155">
        <f t="shared" si="33"/>
        <v>2.8762937999999849</v>
      </c>
      <c r="M41" s="155">
        <f t="shared" si="33"/>
        <v>3025.63</v>
      </c>
      <c r="N41" s="155">
        <f t="shared" si="33"/>
        <v>2891.6044066999998</v>
      </c>
      <c r="O41" s="155">
        <f t="shared" si="33"/>
        <v>-134.02559330000003</v>
      </c>
      <c r="P41" s="155">
        <f t="shared" si="33"/>
        <v>3494.18</v>
      </c>
      <c r="Q41" s="155">
        <f t="shared" si="33"/>
        <v>3535.5627488741243</v>
      </c>
      <c r="R41" s="155">
        <f t="shared" si="33"/>
        <v>41.382748874124616</v>
      </c>
    </row>
    <row r="42" spans="1:21">
      <c r="A42" s="56"/>
      <c r="B42" s="41" t="s">
        <v>53</v>
      </c>
      <c r="C42" s="26"/>
      <c r="D42" s="42">
        <v>1634.53</v>
      </c>
      <c r="E42" s="42">
        <v>1634.53</v>
      </c>
      <c r="F42" s="156">
        <v>0</v>
      </c>
      <c r="G42" s="42">
        <v>1830.64</v>
      </c>
      <c r="H42" s="42">
        <v>1830.64</v>
      </c>
      <c r="I42" s="156">
        <v>0</v>
      </c>
      <c r="J42" s="42">
        <v>2267.98</v>
      </c>
      <c r="K42" s="42">
        <v>2267.98</v>
      </c>
      <c r="L42" s="156">
        <v>0</v>
      </c>
      <c r="M42" s="42">
        <v>2662.91</v>
      </c>
      <c r="N42" s="42">
        <v>2662.91</v>
      </c>
      <c r="O42" s="156">
        <v>0</v>
      </c>
      <c r="P42" s="42">
        <v>3098.72</v>
      </c>
      <c r="Q42" s="42">
        <v>3098.72</v>
      </c>
      <c r="R42" s="156">
        <v>0</v>
      </c>
    </row>
    <row r="43" spans="1:21" ht="24">
      <c r="A43" s="11"/>
      <c r="B43" s="41" t="s">
        <v>101</v>
      </c>
      <c r="C43" s="26"/>
      <c r="D43" s="42">
        <v>241.3</v>
      </c>
      <c r="E43" s="42">
        <f>41.98+222.2337824</f>
        <v>264.21378240000001</v>
      </c>
      <c r="F43" s="172">
        <f>E43-D43</f>
        <v>22.913782400000002</v>
      </c>
      <c r="G43" s="42">
        <v>326.16000000000003</v>
      </c>
      <c r="H43" s="42">
        <f>52.28+238.6053381+1.15</f>
        <v>292.03533809999999</v>
      </c>
      <c r="I43" s="172">
        <f>H43-G43</f>
        <v>-34.124661900000035</v>
      </c>
      <c r="J43" s="44">
        <v>320.55</v>
      </c>
      <c r="K43" s="44">
        <f>54.88+263.7062938+4.84</f>
        <v>323.4262938</v>
      </c>
      <c r="L43" s="172">
        <f>K43-J43</f>
        <v>2.8762937999999849</v>
      </c>
      <c r="M43" s="44">
        <v>362.72</v>
      </c>
      <c r="N43" s="44">
        <f>52.94565+148.5187567+27.23</f>
        <v>228.6944067</v>
      </c>
      <c r="O43" s="172">
        <f>N43-M43</f>
        <v>-134.02559330000003</v>
      </c>
      <c r="P43" s="44">
        <v>395.46</v>
      </c>
      <c r="Q43" s="44">
        <v>436.8427488741246</v>
      </c>
      <c r="R43" s="243">
        <f>Q43-P43</f>
        <v>41.382748874124616</v>
      </c>
      <c r="S43" s="244"/>
      <c r="T43" s="244"/>
      <c r="U43" s="244"/>
    </row>
    <row r="44" spans="1:21">
      <c r="A44" s="56"/>
      <c r="B44" s="41"/>
      <c r="C44" s="26"/>
      <c r="D44" s="43"/>
      <c r="E44" s="57"/>
      <c r="F44" s="57"/>
      <c r="G44" s="43"/>
      <c r="H44" s="26"/>
      <c r="I44" s="26"/>
      <c r="J44" s="43"/>
      <c r="K44" s="30"/>
      <c r="L44" s="24"/>
      <c r="M44" s="43"/>
      <c r="N44" s="30"/>
      <c r="O44" s="24"/>
      <c r="P44" s="43"/>
      <c r="Q44" s="30"/>
      <c r="R44" s="24"/>
    </row>
    <row r="45" spans="1:21">
      <c r="A45" s="56"/>
      <c r="B45" s="12"/>
      <c r="C45" s="5"/>
      <c r="D45" s="58"/>
      <c r="E45" s="58"/>
      <c r="F45" s="58"/>
      <c r="G45" s="5"/>
      <c r="H45" s="5"/>
      <c r="I45" s="5"/>
      <c r="J45" s="24"/>
      <c r="K45" s="24"/>
      <c r="L45" s="24"/>
      <c r="M45" s="24"/>
      <c r="N45" s="24"/>
      <c r="O45" s="24"/>
      <c r="P45" s="24"/>
      <c r="Q45" s="24"/>
      <c r="R45" s="24"/>
    </row>
    <row r="46" spans="1:21">
      <c r="A46" s="11"/>
      <c r="B46" s="12" t="s">
        <v>55</v>
      </c>
      <c r="C46" s="9"/>
      <c r="D46" s="59"/>
      <c r="E46" s="59"/>
      <c r="F46" s="59"/>
      <c r="G46" s="9"/>
      <c r="H46" s="9"/>
      <c r="I46" s="9"/>
      <c r="J46" s="30"/>
      <c r="K46" s="60"/>
      <c r="L46" s="24"/>
      <c r="M46" s="30"/>
      <c r="N46" s="60"/>
      <c r="O46" s="24"/>
      <c r="P46" s="30"/>
      <c r="Q46" s="60"/>
      <c r="R46" s="24"/>
    </row>
    <row r="47" spans="1:21">
      <c r="A47" s="56"/>
      <c r="B47" s="12" t="s">
        <v>56</v>
      </c>
      <c r="C47" s="61">
        <v>0.75</v>
      </c>
      <c r="D47" s="61">
        <v>0.75</v>
      </c>
      <c r="E47" s="62">
        <f>D47</f>
        <v>0.75</v>
      </c>
      <c r="F47" s="62"/>
      <c r="G47" s="61">
        <v>0.75</v>
      </c>
      <c r="H47" s="62">
        <f>G47</f>
        <v>0.75</v>
      </c>
      <c r="I47" s="62"/>
      <c r="J47" s="61">
        <v>0.75</v>
      </c>
      <c r="K47" s="62">
        <f>J47</f>
        <v>0.75</v>
      </c>
      <c r="L47" s="24"/>
      <c r="M47" s="61">
        <v>0.75</v>
      </c>
      <c r="N47" s="62">
        <f>M47</f>
        <v>0.75</v>
      </c>
      <c r="O47" s="24"/>
      <c r="P47" s="61">
        <v>0.75</v>
      </c>
      <c r="Q47" s="62">
        <f>P47</f>
        <v>0.75</v>
      </c>
      <c r="R47" s="24"/>
    </row>
    <row r="48" spans="1:21">
      <c r="A48" s="56"/>
      <c r="B48" s="12" t="s">
        <v>57</v>
      </c>
      <c r="C48" s="61">
        <v>0.25</v>
      </c>
      <c r="D48" s="61">
        <v>0.25</v>
      </c>
      <c r="E48" s="62">
        <f>D48</f>
        <v>0.25</v>
      </c>
      <c r="F48" s="62"/>
      <c r="G48" s="61">
        <v>0.25</v>
      </c>
      <c r="H48" s="62">
        <f>G48</f>
        <v>0.25</v>
      </c>
      <c r="I48" s="62"/>
      <c r="J48" s="61">
        <v>0.25</v>
      </c>
      <c r="K48" s="62">
        <f>J48</f>
        <v>0.25</v>
      </c>
      <c r="L48" s="24"/>
      <c r="M48" s="61">
        <v>0.25</v>
      </c>
      <c r="N48" s="62">
        <f>M48</f>
        <v>0.25</v>
      </c>
      <c r="O48" s="24"/>
      <c r="P48" s="61">
        <v>0.25</v>
      </c>
      <c r="Q48" s="62">
        <f>P48</f>
        <v>0.25</v>
      </c>
      <c r="R48" s="24"/>
    </row>
    <row r="49" spans="1:26">
      <c r="D49" s="63"/>
      <c r="E49" s="63"/>
      <c r="F49" s="63"/>
    </row>
    <row r="50" spans="1:26" s="97" customFormat="1">
      <c r="B50" s="98"/>
      <c r="D50" s="99"/>
      <c r="E50" s="99"/>
      <c r="F50" s="99"/>
    </row>
    <row r="51" spans="1:26" s="97" customFormat="1">
      <c r="B51" s="98"/>
      <c r="D51" s="240"/>
      <c r="E51" s="240"/>
      <c r="F51" s="240"/>
      <c r="G51" s="240"/>
      <c r="H51" s="240"/>
      <c r="I51" s="240"/>
      <c r="J51" s="240"/>
      <c r="K51" s="241"/>
      <c r="L51" s="240"/>
      <c r="M51" s="240"/>
      <c r="N51" s="240"/>
      <c r="O51" s="240"/>
      <c r="P51" s="240"/>
      <c r="Q51" s="240"/>
      <c r="R51" s="240"/>
    </row>
    <row r="52" spans="1:26" s="97" customFormat="1">
      <c r="B52" s="98"/>
      <c r="D52" s="223"/>
      <c r="E52" s="223"/>
      <c r="F52" s="223"/>
      <c r="G52" s="223"/>
      <c r="H52" s="161"/>
      <c r="I52" s="223"/>
      <c r="J52" s="223"/>
      <c r="K52" s="47"/>
      <c r="L52" s="223"/>
      <c r="M52" s="223"/>
      <c r="N52" s="223"/>
      <c r="O52" s="223"/>
      <c r="P52" s="223"/>
      <c r="Q52" s="223"/>
      <c r="R52" s="223"/>
    </row>
    <row r="53" spans="1:26" s="97" customFormat="1">
      <c r="D53" s="99"/>
      <c r="E53" s="99"/>
      <c r="F53" s="99"/>
    </row>
    <row r="54" spans="1:26" s="97" customFormat="1">
      <c r="B54" s="98"/>
      <c r="D54" s="99"/>
      <c r="E54" s="99"/>
      <c r="F54" s="99"/>
      <c r="K54" s="242"/>
    </row>
    <row r="55" spans="1:26" s="97" customFormat="1">
      <c r="B55" s="98"/>
      <c r="D55" s="99"/>
      <c r="E55" s="99"/>
      <c r="F55" s="99"/>
      <c r="H55" s="105"/>
      <c r="Q55" s="110"/>
    </row>
    <row r="56" spans="1:26" s="97" customFormat="1">
      <c r="B56" s="98"/>
      <c r="D56" s="99"/>
      <c r="E56" s="223"/>
      <c r="F56" s="99"/>
      <c r="H56" s="224"/>
      <c r="K56" s="224"/>
      <c r="Q56" s="110"/>
    </row>
    <row r="57" spans="1:26">
      <c r="B57" s="64" t="s">
        <v>58</v>
      </c>
      <c r="D57" s="63"/>
      <c r="E57" s="63"/>
      <c r="F57" s="63"/>
    </row>
    <row r="58" spans="1:26" ht="15.75" thickBot="1">
      <c r="B58" s="65"/>
      <c r="C58" s="65"/>
      <c r="D58" s="65"/>
      <c r="E58" s="63"/>
      <c r="F58" s="73"/>
    </row>
    <row r="59" spans="1:26" s="177" customFormat="1" ht="15.75" thickBot="1">
      <c r="A59" s="11"/>
      <c r="B59" s="173" t="s">
        <v>59</v>
      </c>
      <c r="C59" s="67"/>
      <c r="D59" s="174">
        <f>SUM(D60:D61)</f>
        <v>8402.3311215957547</v>
      </c>
      <c r="E59" s="174">
        <f>SUM(E60:E61)</f>
        <v>7806.3985143</v>
      </c>
      <c r="F59" s="175">
        <f t="shared" ref="F59:F60" si="34">E59-D59</f>
        <v>-595.93260729575468</v>
      </c>
      <c r="G59" s="174">
        <f>SUM(G60:G61)</f>
        <v>9906.7793097985832</v>
      </c>
      <c r="H59" s="176">
        <f>SUM(H60:H61)</f>
        <v>9716.1506126000004</v>
      </c>
      <c r="I59" s="175">
        <f t="shared" ref="I59:I71" si="35">H59-G59</f>
        <v>-190.62869719858281</v>
      </c>
      <c r="J59" s="174">
        <f>SUM(J60:J61)</f>
        <v>11543.768394971838</v>
      </c>
      <c r="K59" s="176">
        <f>SUM(K60:K61)</f>
        <v>11264.807985386</v>
      </c>
      <c r="L59" s="175">
        <f t="shared" ref="L59:L71" si="36">K59-J59</f>
        <v>-278.96040958583762</v>
      </c>
      <c r="M59" s="174">
        <f>SUM(M60:M61)</f>
        <v>13239.827155592147</v>
      </c>
      <c r="N59" s="176">
        <f>SUM(N60:N61)</f>
        <v>12524.387175586</v>
      </c>
      <c r="O59" s="175">
        <f t="shared" ref="O59:O71" si="37">N59-M59</f>
        <v>-715.43998000614738</v>
      </c>
      <c r="P59" s="174">
        <f>SUM(P60:P61)</f>
        <v>14978.393460982727</v>
      </c>
      <c r="Q59" s="176">
        <f>SUM(Q60:Q61)</f>
        <v>14192.108258999</v>
      </c>
      <c r="R59" s="175">
        <f t="shared" ref="R59:R71" si="38">Q59-P59</f>
        <v>-786.28520198372644</v>
      </c>
      <c r="S59" s="15">
        <f t="shared" ref="S59:U71" si="39">D59+G59+J59+M59+P59</f>
        <v>58071.099442941049</v>
      </c>
      <c r="T59" s="15">
        <f t="shared" si="39"/>
        <v>55503.852546871</v>
      </c>
      <c r="U59" s="15">
        <f t="shared" si="39"/>
        <v>-2567.2468960700489</v>
      </c>
      <c r="Y59" s="301">
        <v>2628.95</v>
      </c>
      <c r="Z59" s="301">
        <v>2576.13</v>
      </c>
    </row>
    <row r="60" spans="1:26" s="18" customFormat="1" ht="15.75" thickBot="1">
      <c r="A60" s="11"/>
      <c r="B60" s="178" t="s">
        <v>60</v>
      </c>
      <c r="C60" s="65"/>
      <c r="D60" s="65">
        <v>7197.8581400949988</v>
      </c>
      <c r="E60" s="179">
        <v>6763.13</v>
      </c>
      <c r="F60" s="180">
        <f t="shared" si="34"/>
        <v>-434.72814009499871</v>
      </c>
      <c r="G60" s="179">
        <f>D59</f>
        <v>8402.3311215957547</v>
      </c>
      <c r="H60" s="181">
        <v>7806.3985143</v>
      </c>
      <c r="I60" s="180">
        <f t="shared" si="35"/>
        <v>-595.93260729575468</v>
      </c>
      <c r="J60" s="179">
        <f>G59</f>
        <v>9906.7793097985832</v>
      </c>
      <c r="K60" s="181">
        <v>9716.0992346519997</v>
      </c>
      <c r="L60" s="180">
        <f t="shared" si="36"/>
        <v>-190.68007514658348</v>
      </c>
      <c r="M60" s="179">
        <f>J59</f>
        <v>11543.768394971838</v>
      </c>
      <c r="N60" s="181">
        <v>11264.813985385999</v>
      </c>
      <c r="O60" s="180">
        <f t="shared" si="37"/>
        <v>-278.95440958583822</v>
      </c>
      <c r="P60" s="179">
        <f>M59</f>
        <v>13239.827155592147</v>
      </c>
      <c r="Q60" s="181">
        <v>12524.387175586</v>
      </c>
      <c r="R60" s="180">
        <f t="shared" si="38"/>
        <v>-715.43998000614738</v>
      </c>
      <c r="S60" s="15">
        <f t="shared" si="39"/>
        <v>50290.564122053322</v>
      </c>
      <c r="T60" s="15">
        <f t="shared" si="39"/>
        <v>48074.828909923999</v>
      </c>
      <c r="U60" s="15">
        <f t="shared" si="39"/>
        <v>-2215.7352121293225</v>
      </c>
      <c r="Y60" s="301">
        <v>573.77</v>
      </c>
      <c r="Z60" s="301">
        <v>583.22</v>
      </c>
    </row>
    <row r="61" spans="1:26" s="18" customFormat="1" ht="15.75" thickBot="1">
      <c r="A61" s="11"/>
      <c r="B61" s="178" t="s">
        <v>61</v>
      </c>
      <c r="C61" s="65"/>
      <c r="D61" s="182">
        <v>1204.4729815007552</v>
      </c>
      <c r="E61" s="183">
        <v>1043.2685143000001</v>
      </c>
      <c r="F61" s="184">
        <f>E61-D61</f>
        <v>-161.20446720075506</v>
      </c>
      <c r="G61" s="183">
        <v>1504.4481882028281</v>
      </c>
      <c r="H61" s="185">
        <v>1909.7520982999999</v>
      </c>
      <c r="I61" s="184">
        <f t="shared" si="35"/>
        <v>405.30391009717187</v>
      </c>
      <c r="J61" s="183">
        <v>1636.9890851732541</v>
      </c>
      <c r="K61" s="185">
        <v>1548.7087507339995</v>
      </c>
      <c r="L61" s="184">
        <f t="shared" si="36"/>
        <v>-88.280334439254602</v>
      </c>
      <c r="M61" s="183">
        <v>1696.0587606203094</v>
      </c>
      <c r="N61" s="185">
        <v>1259.5731902000002</v>
      </c>
      <c r="O61" s="184">
        <f t="shared" si="37"/>
        <v>-436.48557042030916</v>
      </c>
      <c r="P61" s="183">
        <v>1738.5663053905787</v>
      </c>
      <c r="Q61" s="185">
        <v>1667.7210834129999</v>
      </c>
      <c r="R61" s="184">
        <f t="shared" si="38"/>
        <v>-70.845221977578831</v>
      </c>
      <c r="S61" s="158">
        <f t="shared" si="39"/>
        <v>7780.5353208877259</v>
      </c>
      <c r="T61" s="158">
        <f t="shared" si="39"/>
        <v>7429.0236369470003</v>
      </c>
      <c r="U61" s="158">
        <f t="shared" si="39"/>
        <v>-351.51168394072579</v>
      </c>
      <c r="Y61" s="301">
        <v>759.54</v>
      </c>
      <c r="Z61" s="301">
        <v>986.56</v>
      </c>
    </row>
    <row r="62" spans="1:26" s="177" customFormat="1" ht="15.75" thickBot="1">
      <c r="A62" s="11"/>
      <c r="B62" s="245" t="s">
        <v>62</v>
      </c>
      <c r="C62" s="78"/>
      <c r="D62" s="186">
        <f>SUM(D63:D64)</f>
        <v>4461.3909623940708</v>
      </c>
      <c r="E62" s="186">
        <f>SUM(E63:E64)</f>
        <v>2325.8662622416841</v>
      </c>
      <c r="F62" s="175">
        <f t="shared" ref="F62:F71" si="40">E62-D62</f>
        <v>-2135.5247001523867</v>
      </c>
      <c r="G62" s="186">
        <f>SUM(G63:G64)</f>
        <v>5023.0209623940709</v>
      </c>
      <c r="H62" s="176">
        <f>SUM(H63:H64)</f>
        <v>2630.684792941684</v>
      </c>
      <c r="I62" s="175">
        <f t="shared" si="35"/>
        <v>-2392.3361694523869</v>
      </c>
      <c r="J62" s="186">
        <f>SUM(J63:J64)</f>
        <v>5657.6609623940712</v>
      </c>
      <c r="K62" s="176">
        <f>SUM(K63:K64)</f>
        <v>3033.740041941684</v>
      </c>
      <c r="L62" s="175">
        <f t="shared" si="36"/>
        <v>-2623.9209204523872</v>
      </c>
      <c r="M62" s="186">
        <f>SUM(M63:M64)</f>
        <v>6362.2209623940707</v>
      </c>
      <c r="N62" s="176">
        <f>SUM(N63:N64)</f>
        <v>3704.4466985630011</v>
      </c>
      <c r="O62" s="175">
        <f t="shared" si="37"/>
        <v>-2657.7742638310697</v>
      </c>
      <c r="P62" s="186">
        <f>SUM(P63:P64)</f>
        <v>7136.7109623940705</v>
      </c>
      <c r="Q62" s="176">
        <f>SUM(Q63:Q64)</f>
        <v>4241.6374752160009</v>
      </c>
      <c r="R62" s="175">
        <f t="shared" si="38"/>
        <v>-2895.0734871780696</v>
      </c>
      <c r="S62" s="15">
        <f t="shared" si="39"/>
        <v>28641.004811970357</v>
      </c>
      <c r="T62" s="15">
        <f t="shared" si="39"/>
        <v>15936.375270904055</v>
      </c>
      <c r="U62" s="15">
        <f t="shared" si="39"/>
        <v>-12704.629541066301</v>
      </c>
      <c r="Y62" s="301">
        <v>39.049999999999997</v>
      </c>
      <c r="Z62" s="301">
        <v>0</v>
      </c>
    </row>
    <row r="63" spans="1:26" s="18" customFormat="1" ht="15.75" thickBot="1">
      <c r="A63" s="11"/>
      <c r="B63" s="178" t="s">
        <v>63</v>
      </c>
      <c r="C63" s="65"/>
      <c r="D63" s="65">
        <v>3964.1409623940704</v>
      </c>
      <c r="E63" s="179">
        <v>2072.0366955416839</v>
      </c>
      <c r="F63" s="180">
        <f t="shared" si="40"/>
        <v>-1892.1042668523864</v>
      </c>
      <c r="G63" s="179">
        <f>D62</f>
        <v>4461.3909623940708</v>
      </c>
      <c r="H63" s="181">
        <v>2325.8662622416841</v>
      </c>
      <c r="I63" s="180">
        <f t="shared" si="35"/>
        <v>-2135.5247001523867</v>
      </c>
      <c r="J63" s="179">
        <f>G62</f>
        <v>5023.0209623940709</v>
      </c>
      <c r="K63" s="181">
        <v>2630.684792941684</v>
      </c>
      <c r="L63" s="180">
        <f t="shared" si="36"/>
        <v>-2392.3361694523869</v>
      </c>
      <c r="M63" s="179">
        <f>J62</f>
        <v>5657.6609623940712</v>
      </c>
      <c r="N63" s="181">
        <v>3032.1280136630012</v>
      </c>
      <c r="O63" s="180">
        <f t="shared" si="37"/>
        <v>-2625.5329487310701</v>
      </c>
      <c r="P63" s="179">
        <f>M62</f>
        <v>6362.2209623940707</v>
      </c>
      <c r="Q63" s="181">
        <v>3704.4466985630011</v>
      </c>
      <c r="R63" s="180">
        <f t="shared" si="38"/>
        <v>-2657.7742638310697</v>
      </c>
      <c r="S63" s="15">
        <f t="shared" si="39"/>
        <v>25468.434811970357</v>
      </c>
      <c r="T63" s="15">
        <f t="shared" si="39"/>
        <v>13765.162462951053</v>
      </c>
      <c r="U63" s="15">
        <f t="shared" si="39"/>
        <v>-11703.2723490193</v>
      </c>
      <c r="Y63" s="301">
        <v>20</v>
      </c>
      <c r="Z63" s="301">
        <v>0</v>
      </c>
    </row>
    <row r="64" spans="1:26" s="18" customFormat="1" ht="15.75" thickBot="1">
      <c r="A64" s="11"/>
      <c r="B64" s="178" t="s">
        <v>64</v>
      </c>
      <c r="C64" s="65"/>
      <c r="D64" s="65">
        <f>D31</f>
        <v>497.25</v>
      </c>
      <c r="E64" s="179">
        <v>253.82956669999999</v>
      </c>
      <c r="F64" s="180">
        <f t="shared" si="40"/>
        <v>-243.42043330000001</v>
      </c>
      <c r="G64" s="179">
        <f>G31</f>
        <v>561.63</v>
      </c>
      <c r="H64" s="181">
        <v>304.81853069999994</v>
      </c>
      <c r="I64" s="180">
        <f t="shared" si="35"/>
        <v>-256.81146930000006</v>
      </c>
      <c r="J64" s="179">
        <f>J31</f>
        <v>634.64</v>
      </c>
      <c r="K64" s="181">
        <v>403.055249</v>
      </c>
      <c r="L64" s="180">
        <f t="shared" si="36"/>
        <v>-231.58475099999998</v>
      </c>
      <c r="M64" s="179">
        <v>704.56</v>
      </c>
      <c r="N64" s="181">
        <v>672.31868489999988</v>
      </c>
      <c r="O64" s="180">
        <f t="shared" si="37"/>
        <v>-32.241315100000065</v>
      </c>
      <c r="P64" s="179">
        <f>P31</f>
        <v>774.49</v>
      </c>
      <c r="Q64" s="187">
        <v>537.19077665300006</v>
      </c>
      <c r="R64" s="180">
        <f t="shared" si="38"/>
        <v>-237.29922334699995</v>
      </c>
      <c r="S64" s="15">
        <f t="shared" si="39"/>
        <v>3172.5699999999997</v>
      </c>
      <c r="T64" s="15">
        <f t="shared" si="39"/>
        <v>2171.2128079529998</v>
      </c>
      <c r="U64" s="15">
        <f t="shared" si="39"/>
        <v>-1001.3571920470001</v>
      </c>
      <c r="Y64" s="301">
        <v>0</v>
      </c>
      <c r="Z64" s="301">
        <v>19.79</v>
      </c>
    </row>
    <row r="65" spans="1:26" s="177" customFormat="1" ht="15.75" thickBot="1">
      <c r="B65" s="246" t="s">
        <v>65</v>
      </c>
      <c r="C65" s="78"/>
      <c r="D65" s="186">
        <f>SUM(D66:D67)</f>
        <v>1578.026417278094</v>
      </c>
      <c r="E65" s="186">
        <f>SUM(E66:E67)</f>
        <v>2991.03</v>
      </c>
      <c r="F65" s="175">
        <f t="shared" si="40"/>
        <v>1413.0035827219062</v>
      </c>
      <c r="G65" s="186">
        <f>SUM(G66:G67)</f>
        <v>1678.2470216598581</v>
      </c>
      <c r="H65" s="176">
        <f>SUM(H66:H67)</f>
        <v>3438.2731000000003</v>
      </c>
      <c r="I65" s="175">
        <f t="shared" si="35"/>
        <v>1760.0260783401422</v>
      </c>
      <c r="J65" s="186">
        <f>SUM(J66:J67)</f>
        <v>1813.3086885205848</v>
      </c>
      <c r="K65" s="176">
        <f>SUM(K66:K67)</f>
        <v>3876.292280357</v>
      </c>
      <c r="L65" s="175">
        <f t="shared" si="36"/>
        <v>2062.9835918364151</v>
      </c>
      <c r="M65" s="186">
        <f>SUM(M66:M67)</f>
        <v>1867.3611738051577</v>
      </c>
      <c r="N65" s="176">
        <f>SUM(N66:N67)</f>
        <v>4396.7851903569999</v>
      </c>
      <c r="O65" s="175">
        <f t="shared" si="37"/>
        <v>2529.4240165518422</v>
      </c>
      <c r="P65" s="186">
        <f>SUM(P66:P67)</f>
        <v>1908.5650497923159</v>
      </c>
      <c r="Q65" s="176">
        <f>SUM(Q66:Q67)</f>
        <v>5247.3313647859095</v>
      </c>
      <c r="R65" s="175">
        <f t="shared" si="38"/>
        <v>3338.7663149935934</v>
      </c>
      <c r="S65" s="15">
        <f t="shared" si="39"/>
        <v>8845.5083510560107</v>
      </c>
      <c r="T65" s="15">
        <f t="shared" si="39"/>
        <v>19949.711935499912</v>
      </c>
      <c r="U65" s="15">
        <f t="shared" si="39"/>
        <v>11104.203584443898</v>
      </c>
      <c r="Y65" s="302">
        <v>4021.31</v>
      </c>
      <c r="Z65" s="302">
        <v>4165.7</v>
      </c>
    </row>
    <row r="66" spans="1:26" s="18" customFormat="1" ht="15.75" thickBot="1">
      <c r="A66" s="11"/>
      <c r="B66" s="178" t="s">
        <v>66</v>
      </c>
      <c r="C66" s="65"/>
      <c r="D66" s="65">
        <v>1341.0897946757068</v>
      </c>
      <c r="E66" s="179">
        <v>2654.55</v>
      </c>
      <c r="F66" s="180">
        <f>E66-D66</f>
        <v>1313.4602053242934</v>
      </c>
      <c r="G66" s="179">
        <f>D65-D68</f>
        <v>1369.0987666622671</v>
      </c>
      <c r="H66" s="181">
        <v>2991.03</v>
      </c>
      <c r="I66" s="180">
        <f t="shared" si="35"/>
        <v>1621.9312333377331</v>
      </c>
      <c r="J66" s="179">
        <f>G65-G68</f>
        <v>1495.3325182115545</v>
      </c>
      <c r="K66" s="181">
        <v>3438.394931457</v>
      </c>
      <c r="L66" s="180">
        <f t="shared" si="36"/>
        <v>1943.0624132454454</v>
      </c>
      <c r="M66" s="179">
        <f>J65-J68</f>
        <v>1528.1984417579611</v>
      </c>
      <c r="N66" s="181">
        <v>3876.292280357</v>
      </c>
      <c r="O66" s="180">
        <f t="shared" si="37"/>
        <v>2348.0938385990389</v>
      </c>
      <c r="P66" s="179">
        <f>M65-M68</f>
        <v>1541.7318894894574</v>
      </c>
      <c r="Q66" s="181">
        <v>4396.7851903569999</v>
      </c>
      <c r="R66" s="180">
        <f t="shared" si="38"/>
        <v>2855.0533008675425</v>
      </c>
      <c r="S66" s="15">
        <f t="shared" si="39"/>
        <v>7275.4514107969462</v>
      </c>
      <c r="T66" s="15">
        <f t="shared" si="39"/>
        <v>17357.052402171001</v>
      </c>
      <c r="U66" s="15">
        <f t="shared" si="39"/>
        <v>10081.600991374055</v>
      </c>
      <c r="Y66" s="301">
        <v>450.65</v>
      </c>
      <c r="Z66" s="301">
        <v>413.18</v>
      </c>
    </row>
    <row r="67" spans="1:26" s="18" customFormat="1" ht="15.75" thickBot="1">
      <c r="A67" s="11"/>
      <c r="B67" s="178" t="s">
        <v>67</v>
      </c>
      <c r="C67" s="65"/>
      <c r="D67" s="182">
        <v>236.9366226023871</v>
      </c>
      <c r="E67" s="183">
        <v>336.48</v>
      </c>
      <c r="F67" s="184">
        <f t="shared" si="40"/>
        <v>99.543377397612915</v>
      </c>
      <c r="G67" s="183">
        <v>309.14825499759093</v>
      </c>
      <c r="H67" s="185">
        <v>447.24310000000003</v>
      </c>
      <c r="I67" s="184">
        <f t="shared" si="35"/>
        <v>138.0948450024091</v>
      </c>
      <c r="J67" s="183">
        <v>317.97617030903035</v>
      </c>
      <c r="K67" s="185">
        <f>431.8581497+6.0391992</f>
        <v>437.8973489</v>
      </c>
      <c r="L67" s="184">
        <f t="shared" si="36"/>
        <v>119.92117859096965</v>
      </c>
      <c r="M67" s="183">
        <v>339.16273204719653</v>
      </c>
      <c r="N67" s="185">
        <v>520.49291000000017</v>
      </c>
      <c r="O67" s="184">
        <f t="shared" si="37"/>
        <v>181.33017795280364</v>
      </c>
      <c r="P67" s="183">
        <v>366.83316030285846</v>
      </c>
      <c r="Q67" s="181">
        <v>850.54617442890935</v>
      </c>
      <c r="R67" s="184">
        <f t="shared" si="38"/>
        <v>483.71301412605089</v>
      </c>
      <c r="S67" s="158">
        <f t="shared" si="39"/>
        <v>1570.0569402590634</v>
      </c>
      <c r="T67" s="158">
        <f t="shared" si="39"/>
        <v>2592.6595333289097</v>
      </c>
      <c r="U67" s="158">
        <f t="shared" si="39"/>
        <v>1022.6025930698462</v>
      </c>
      <c r="Y67" s="301">
        <v>24.84</v>
      </c>
      <c r="Z67" s="301">
        <v>13.15</v>
      </c>
    </row>
    <row r="68" spans="1:26" s="18" customFormat="1" ht="15.75" thickBot="1">
      <c r="A68" s="11"/>
      <c r="B68" s="178" t="s">
        <v>102</v>
      </c>
      <c r="C68" s="65"/>
      <c r="D68" s="65">
        <v>208.92765061582699</v>
      </c>
      <c r="E68" s="179"/>
      <c r="F68" s="180"/>
      <c r="G68" s="179">
        <v>182.91450344830346</v>
      </c>
      <c r="H68" s="181"/>
      <c r="I68" s="180"/>
      <c r="J68" s="179">
        <v>285.11024676262366</v>
      </c>
      <c r="K68" s="181">
        <v>0</v>
      </c>
      <c r="L68" s="180">
        <f t="shared" si="36"/>
        <v>-285.11024676262366</v>
      </c>
      <c r="M68" s="179">
        <v>325.62928431570037</v>
      </c>
      <c r="N68" s="188">
        <v>0</v>
      </c>
      <c r="O68" s="180">
        <f t="shared" si="37"/>
        <v>-325.62928431570037</v>
      </c>
      <c r="P68" s="179">
        <v>356.64024552786742</v>
      </c>
      <c r="Q68" s="188"/>
      <c r="R68" s="180"/>
      <c r="S68" s="15"/>
      <c r="T68" s="15"/>
      <c r="U68" s="15"/>
      <c r="Y68" s="302">
        <v>3545.82</v>
      </c>
      <c r="Z68" s="302">
        <v>3739.36</v>
      </c>
    </row>
    <row r="69" spans="1:26" s="177" customFormat="1">
      <c r="A69" s="11"/>
      <c r="B69" s="176" t="s">
        <v>68</v>
      </c>
      <c r="C69" s="189"/>
      <c r="D69" s="190">
        <v>95.855833333333337</v>
      </c>
      <c r="E69" s="191">
        <v>117.03733850224999</v>
      </c>
      <c r="F69" s="192">
        <f t="shared" si="40"/>
        <v>21.181505168916658</v>
      </c>
      <c r="G69" s="191">
        <v>119.29642150856891</v>
      </c>
      <c r="H69" s="193">
        <v>100.21398333333333</v>
      </c>
      <c r="I69" s="192">
        <f t="shared" si="35"/>
        <v>-19.082438175235581</v>
      </c>
      <c r="J69" s="230">
        <f>141.25929601842+49.46</f>
        <v>190.71929601842001</v>
      </c>
      <c r="K69" s="193">
        <v>163.60561451991666</v>
      </c>
      <c r="L69" s="192">
        <f t="shared" si="36"/>
        <v>-27.113681498503354</v>
      </c>
      <c r="M69" s="230">
        <f>163.767258642569+32.97</f>
        <v>196.737258642569</v>
      </c>
      <c r="N69" s="193">
        <f>N75/12</f>
        <v>184.87409799166664</v>
      </c>
      <c r="O69" s="192">
        <f t="shared" si="37"/>
        <v>-11.863160650902358</v>
      </c>
      <c r="P69" s="230">
        <f>188.921662781493+16.48</f>
        <v>205.401662781493</v>
      </c>
      <c r="Q69" s="193">
        <f>Q75/12</f>
        <v>211.52206799999999</v>
      </c>
      <c r="R69" s="192">
        <f t="shared" si="38"/>
        <v>6.1204052185069884</v>
      </c>
      <c r="S69" s="158">
        <f t="shared" si="39"/>
        <v>808.01047228438426</v>
      </c>
      <c r="T69" s="158">
        <f t="shared" si="39"/>
        <v>777.25310234716665</v>
      </c>
      <c r="U69" s="158">
        <f t="shared" si="39"/>
        <v>-30.757369937217646</v>
      </c>
    </row>
    <row r="70" spans="1:26" s="177" customFormat="1">
      <c r="A70" s="11"/>
      <c r="B70" s="176" t="s">
        <v>69</v>
      </c>
      <c r="C70" s="78"/>
      <c r="D70" s="186">
        <f>(D61-D64-D67)/2</f>
        <v>235.14317944918403</v>
      </c>
      <c r="E70" s="186">
        <f>(E61-E64-E67)/2</f>
        <v>226.47947380000005</v>
      </c>
      <c r="F70" s="175">
        <f t="shared" si="40"/>
        <v>-8.6637056491839814</v>
      </c>
      <c r="G70" s="186">
        <f>(G61-G64-G67)/2</f>
        <v>316.83496660261858</v>
      </c>
      <c r="H70" s="176">
        <f>(H61-H64-H67)/2</f>
        <v>578.84523379999996</v>
      </c>
      <c r="I70" s="175">
        <f t="shared" si="35"/>
        <v>262.01026719738138</v>
      </c>
      <c r="J70" s="186">
        <f>(J61-J64-J67)/2</f>
        <v>342.18645743211187</v>
      </c>
      <c r="K70" s="176">
        <f>(K61-K64-K67)/2</f>
        <v>353.87807641699976</v>
      </c>
      <c r="L70" s="175">
        <f t="shared" si="36"/>
        <v>11.691618984887896</v>
      </c>
      <c r="M70" s="186">
        <f>(M61-M64-M67)/2</f>
        <v>326.16801428655646</v>
      </c>
      <c r="N70" s="176">
        <f>(N61-N64-N67)/2</f>
        <v>33.38079765000009</v>
      </c>
      <c r="O70" s="175">
        <f t="shared" si="37"/>
        <v>-292.78721663655637</v>
      </c>
      <c r="P70" s="186">
        <f>(P61-P64-P67)/2</f>
        <v>298.62157254386011</v>
      </c>
      <c r="Q70" s="176">
        <f>(Q61-Q64-Q67)/2</f>
        <v>139.99206616554522</v>
      </c>
      <c r="R70" s="175">
        <f t="shared" si="38"/>
        <v>-158.62950637831489</v>
      </c>
      <c r="S70" s="15">
        <f t="shared" si="39"/>
        <v>1518.9541903143311</v>
      </c>
      <c r="T70" s="15">
        <f t="shared" si="39"/>
        <v>1332.5756478325452</v>
      </c>
      <c r="U70" s="15">
        <f t="shared" si="39"/>
        <v>-186.37854248178593</v>
      </c>
    </row>
    <row r="71" spans="1:26" s="177" customFormat="1" ht="15.75" thickBot="1">
      <c r="A71" s="11"/>
      <c r="B71" s="82" t="s">
        <v>70</v>
      </c>
      <c r="C71" s="83"/>
      <c r="D71" s="194">
        <f>D60-D63-D66+D69+D70</f>
        <v>2223.6263958077388</v>
      </c>
      <c r="E71" s="194">
        <f>E60-E63-E66+E69+E70</f>
        <v>2380.060116760566</v>
      </c>
      <c r="F71" s="192">
        <f t="shared" si="40"/>
        <v>156.43372095282712</v>
      </c>
      <c r="G71" s="194">
        <f>G60-G63-G66+G69+G70</f>
        <v>3007.9727806506044</v>
      </c>
      <c r="H71" s="195">
        <f>H60-H63-H66+H69+H70</f>
        <v>3168.5614691916489</v>
      </c>
      <c r="I71" s="192">
        <f t="shared" si="35"/>
        <v>160.58868854104458</v>
      </c>
      <c r="J71" s="194">
        <f>J60-J63-J66+J69+J70</f>
        <v>3921.33158264349</v>
      </c>
      <c r="K71" s="195">
        <f>K60-K63-K66+K69+K70</f>
        <v>4164.5032011902331</v>
      </c>
      <c r="L71" s="192">
        <f t="shared" si="36"/>
        <v>243.17161854674305</v>
      </c>
      <c r="M71" s="194">
        <f>M60-M63-M66+M69+M70</f>
        <v>4880.8142637489309</v>
      </c>
      <c r="N71" s="195">
        <f>N60-N63-N66+N69+N70</f>
        <v>4574.6485870076649</v>
      </c>
      <c r="O71" s="192">
        <f t="shared" si="37"/>
        <v>-306.165676741266</v>
      </c>
      <c r="P71" s="194">
        <f>P60-P63-P66+P69+P70</f>
        <v>5839.897539033971</v>
      </c>
      <c r="Q71" s="176">
        <f>Q60-Q63-Q66+Q69+Q70</f>
        <v>4774.6694208315448</v>
      </c>
      <c r="R71" s="192">
        <f t="shared" si="38"/>
        <v>-1065.2281182024262</v>
      </c>
      <c r="S71" s="158">
        <f t="shared" si="39"/>
        <v>19873.642561884735</v>
      </c>
      <c r="T71" s="158">
        <f t="shared" si="39"/>
        <v>19062.442794981656</v>
      </c>
      <c r="U71" s="158">
        <f t="shared" si="39"/>
        <v>-811.19976690307749</v>
      </c>
    </row>
    <row r="72" spans="1:26" s="18" customFormat="1" ht="18.75" customHeight="1">
      <c r="B72" s="318" t="s">
        <v>110</v>
      </c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</row>
    <row r="73" spans="1:26" s="18" customFormat="1">
      <c r="B73" s="319" t="s">
        <v>111</v>
      </c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  <c r="N73" s="319"/>
      <c r="O73" s="319"/>
      <c r="P73" s="319"/>
      <c r="S73" s="196"/>
      <c r="U73" s="196"/>
    </row>
    <row r="74" spans="1:26" s="18" customFormat="1">
      <c r="B74" s="88"/>
      <c r="D74" s="196"/>
      <c r="E74" s="196"/>
      <c r="G74" s="196"/>
      <c r="J74" s="196"/>
      <c r="M74" s="196"/>
      <c r="P74" s="196"/>
      <c r="S74" s="196"/>
      <c r="U74" s="196"/>
    </row>
    <row r="75" spans="1:26" s="18" customFormat="1">
      <c r="B75" s="176" t="s">
        <v>103</v>
      </c>
      <c r="C75" s="228"/>
      <c r="D75" s="181">
        <f>SUM(D76:D78)</f>
        <v>1150.27</v>
      </c>
      <c r="E75" s="181">
        <f>SUM(E76:E78)</f>
        <v>1404.4480620269999</v>
      </c>
      <c r="F75" s="181"/>
      <c r="G75" s="181">
        <f>SUM(G76:G78)</f>
        <v>1270.4258258313425</v>
      </c>
      <c r="H75" s="181">
        <f>SUM(H76:H78)</f>
        <v>1202.5678</v>
      </c>
      <c r="I75" s="181"/>
      <c r="J75" s="181">
        <f>SUM(J76:J78)</f>
        <v>1505.7790090699673</v>
      </c>
      <c r="K75" s="181">
        <f>SUM(K76:K78)</f>
        <v>1963.267374239</v>
      </c>
      <c r="L75" s="181"/>
      <c r="M75" s="181">
        <f>SUM(M76:M78)</f>
        <v>1746.0513077108235</v>
      </c>
      <c r="N75" s="181">
        <f>SUM(N76:N78)</f>
        <v>2218.4891758999997</v>
      </c>
      <c r="O75" s="181"/>
      <c r="P75" s="185">
        <f>SUM(P76:P78)</f>
        <v>2014.4062023280005</v>
      </c>
      <c r="Q75" s="181">
        <f>SUM(Q76:Q78)</f>
        <v>2538.2648159999999</v>
      </c>
      <c r="R75" s="185"/>
      <c r="S75" s="196"/>
    </row>
    <row r="76" spans="1:26" s="18" customFormat="1">
      <c r="B76" s="337" t="s">
        <v>104</v>
      </c>
      <c r="C76" s="338"/>
      <c r="D76" s="339">
        <v>819.61</v>
      </c>
      <c r="E76" s="181">
        <v>1065.58819434</v>
      </c>
      <c r="F76" s="181"/>
      <c r="G76" s="181">
        <v>877.95664199608996</v>
      </c>
      <c r="H76" s="181">
        <v>823.33529999999996</v>
      </c>
      <c r="I76" s="181"/>
      <c r="J76" s="181">
        <v>1042.9099276623715</v>
      </c>
      <c r="K76" s="181">
        <v>1490.6331551359997</v>
      </c>
      <c r="L76" s="181"/>
      <c r="M76" s="181">
        <v>1209.9281633652693</v>
      </c>
      <c r="N76" s="181">
        <v>1896.9435486</v>
      </c>
      <c r="O76" s="181"/>
      <c r="P76" s="185">
        <v>1398.5272585662983</v>
      </c>
      <c r="Q76" s="185">
        <v>2249.0398725999999</v>
      </c>
      <c r="R76" s="185"/>
      <c r="S76" s="196"/>
    </row>
    <row r="77" spans="1:26" s="18" customFormat="1">
      <c r="B77" s="176" t="s">
        <v>105</v>
      </c>
      <c r="C77" s="228"/>
      <c r="D77" s="181">
        <v>248.11</v>
      </c>
      <c r="E77" s="181">
        <v>88.520724779999995</v>
      </c>
      <c r="F77" s="181"/>
      <c r="G77" s="181">
        <v>231.26374097810236</v>
      </c>
      <c r="H77" s="181">
        <v>101.11409999999999</v>
      </c>
      <c r="I77" s="181"/>
      <c r="J77" s="181">
        <v>274.0594470957036</v>
      </c>
      <c r="K77" s="181">
        <v>333.78722801900039</v>
      </c>
      <c r="L77" s="181"/>
      <c r="M77" s="181">
        <v>317.54186030503303</v>
      </c>
      <c r="N77" s="181">
        <v>212.88514659999998</v>
      </c>
      <c r="O77" s="181"/>
      <c r="P77" s="185">
        <v>366.68624585663252</v>
      </c>
      <c r="Q77" s="185">
        <v>162.56924400000003</v>
      </c>
      <c r="R77" s="185"/>
    </row>
    <row r="78" spans="1:26" s="18" customFormat="1">
      <c r="B78" s="176" t="s">
        <v>106</v>
      </c>
      <c r="C78" s="228"/>
      <c r="D78" s="181">
        <v>82.55</v>
      </c>
      <c r="E78" s="181">
        <v>250.33914290700002</v>
      </c>
      <c r="F78" s="181"/>
      <c r="G78" s="181">
        <v>161.20544285715033</v>
      </c>
      <c r="H78" s="181">
        <v>278.11840000000001</v>
      </c>
      <c r="I78" s="181"/>
      <c r="J78" s="181">
        <v>188.80963431189221</v>
      </c>
      <c r="K78" s="181">
        <v>138.84699108399997</v>
      </c>
      <c r="L78" s="181"/>
      <c r="M78" s="181">
        <v>218.58128404052127</v>
      </c>
      <c r="N78" s="181">
        <v>108.66048069999999</v>
      </c>
      <c r="O78" s="181"/>
      <c r="P78" s="185">
        <v>249.19269790506979</v>
      </c>
      <c r="Q78" s="185">
        <v>126.6556994</v>
      </c>
      <c r="R78" s="185"/>
    </row>
    <row r="79" spans="1:26" s="18" customFormat="1">
      <c r="B79" s="176" t="s">
        <v>107</v>
      </c>
      <c r="C79" s="228"/>
      <c r="D79" s="181">
        <v>94.53</v>
      </c>
      <c r="E79" s="181">
        <v>88.762421984999889</v>
      </c>
      <c r="F79" s="181"/>
      <c r="G79" s="181">
        <v>106.23</v>
      </c>
      <c r="H79" s="181">
        <v>121.75469999999999</v>
      </c>
      <c r="I79" s="181"/>
      <c r="J79" s="181">
        <v>107.98</v>
      </c>
      <c r="K79" s="181">
        <v>121.947374239</v>
      </c>
      <c r="L79" s="181"/>
      <c r="M79" s="181">
        <v>112.25</v>
      </c>
      <c r="N79" s="181">
        <v>109.4926961</v>
      </c>
      <c r="O79" s="181"/>
      <c r="P79" s="181">
        <v>113.1</v>
      </c>
      <c r="Q79" s="229">
        <v>134.24502330000001</v>
      </c>
      <c r="R79" s="228"/>
    </row>
    <row r="80" spans="1:26" s="18" customFormat="1">
      <c r="B80" s="88"/>
      <c r="E80" s="196"/>
      <c r="Q80" s="196"/>
    </row>
    <row r="81" spans="1:24" s="18" customFormat="1" hidden="1">
      <c r="B81" s="89" t="s">
        <v>71</v>
      </c>
      <c r="C81" s="90">
        <v>0.11</v>
      </c>
    </row>
    <row r="82" spans="1:24" s="18" customFormat="1" hidden="1">
      <c r="B82" s="197" t="s">
        <v>72</v>
      </c>
      <c r="F82" s="198">
        <v>0</v>
      </c>
      <c r="H82" s="199"/>
      <c r="I82" s="198">
        <f>F85</f>
        <v>120.82403841918591</v>
      </c>
      <c r="L82" s="198">
        <f>I85</f>
        <v>-42.51008476332246</v>
      </c>
      <c r="O82" s="198">
        <f>L85</f>
        <v>498.58205283532845</v>
      </c>
      <c r="R82" s="198">
        <f>O85</f>
        <v>1187.2837663182404</v>
      </c>
    </row>
    <row r="83" spans="1:24" s="18" customFormat="1" hidden="1">
      <c r="B83" s="197" t="s">
        <v>73</v>
      </c>
      <c r="F83" s="198">
        <f>F18</f>
        <v>108.85048506232965</v>
      </c>
      <c r="H83" s="199"/>
      <c r="I83" s="198">
        <f>I18</f>
        <v>-159.12141207983677</v>
      </c>
      <c r="L83" s="198">
        <f>L18</f>
        <v>491.68310533569047</v>
      </c>
      <c r="O83" s="198">
        <f>O18</f>
        <v>571.04296186578904</v>
      </c>
      <c r="R83" s="198">
        <f>R18</f>
        <v>288.2328680615592</v>
      </c>
      <c r="U83" s="200">
        <f>F83+I83+L83+O83+R83</f>
        <v>1300.6880082455316</v>
      </c>
    </row>
    <row r="84" spans="1:24" s="18" customFormat="1" hidden="1">
      <c r="B84" s="197" t="s">
        <v>74</v>
      </c>
      <c r="F84" s="198">
        <f>(F82+F83)*$C$81</f>
        <v>11.973553356856263</v>
      </c>
      <c r="H84" s="196"/>
      <c r="I84" s="198">
        <f>(I82+I83)*$C$81</f>
        <v>-4.2127111026715953</v>
      </c>
      <c r="L84" s="198">
        <f>(L82+L83)*$C$81</f>
        <v>49.40903226296048</v>
      </c>
      <c r="O84" s="198">
        <f>(O82+O83)*$C$81</f>
        <v>117.65875161712292</v>
      </c>
      <c r="R84" s="198">
        <f>(R82+R83)*$C$81</f>
        <v>162.30682978177796</v>
      </c>
      <c r="U84" s="200">
        <f>F84+I84+L84+O84+R84</f>
        <v>337.135455916046</v>
      </c>
    </row>
    <row r="85" spans="1:24" s="18" customFormat="1" hidden="1">
      <c r="B85" s="197" t="s">
        <v>75</v>
      </c>
      <c r="F85" s="198">
        <f>F82+F83+F84</f>
        <v>120.82403841918591</v>
      </c>
      <c r="H85" s="199"/>
      <c r="I85" s="198">
        <f>I82+I83+I84</f>
        <v>-42.51008476332246</v>
      </c>
      <c r="L85" s="198">
        <f>L82+L83+L84</f>
        <v>498.58205283532845</v>
      </c>
      <c r="O85" s="198">
        <f>O82+O83+O84</f>
        <v>1187.2837663182404</v>
      </c>
      <c r="R85" s="198">
        <f>R82+R83+R84</f>
        <v>1637.8234641615775</v>
      </c>
    </row>
    <row r="86" spans="1:24" s="18" customFormat="1" hidden="1">
      <c r="D86" s="18" t="s">
        <v>186</v>
      </c>
    </row>
    <row r="87" spans="1:24" ht="15.75" hidden="1">
      <c r="A87" s="138"/>
      <c r="B87" s="201" t="s">
        <v>76</v>
      </c>
      <c r="C87" s="202" t="s">
        <v>77</v>
      </c>
      <c r="D87" s="203">
        <v>24085</v>
      </c>
      <c r="E87" s="203">
        <v>24383.98</v>
      </c>
      <c r="F87" s="203">
        <f>E87-D87</f>
        <v>298.97999999999956</v>
      </c>
      <c r="G87" s="203">
        <v>24740.69</v>
      </c>
      <c r="H87" s="203">
        <v>26547.55</v>
      </c>
      <c r="I87" s="203">
        <f>H87-G87</f>
        <v>1806.8600000000006</v>
      </c>
      <c r="J87" s="203">
        <v>29101</v>
      </c>
      <c r="K87" s="203">
        <v>30347.67</v>
      </c>
      <c r="L87" s="203">
        <f>K87-J87</f>
        <v>1246.6699999999983</v>
      </c>
      <c r="M87" s="203">
        <v>31564.37</v>
      </c>
      <c r="N87" s="203">
        <v>32752.32</v>
      </c>
      <c r="O87" s="203">
        <f>N87-M87</f>
        <v>1187.9500000000007</v>
      </c>
      <c r="P87" s="203">
        <v>36295.39</v>
      </c>
      <c r="Q87" s="203">
        <v>35801.56</v>
      </c>
      <c r="R87" s="203">
        <f>Q87-P87</f>
        <v>-493.83000000000175</v>
      </c>
      <c r="S87" s="204">
        <f>D87+G87+J87+M87+P87</f>
        <v>145786.45000000001</v>
      </c>
      <c r="T87" s="204">
        <f t="shared" ref="T87:U101" si="41">E87+H87+K87+N87+Q87</f>
        <v>149833.07999999999</v>
      </c>
      <c r="U87" s="204">
        <f t="shared" si="41"/>
        <v>4046.6299999999974</v>
      </c>
      <c r="V87" s="152">
        <f t="shared" ref="V87:V92" si="42">U87*$V$4</f>
        <v>3247.015911999998</v>
      </c>
      <c r="W87" s="152">
        <f>U87*$W$4</f>
        <v>799.61408799999947</v>
      </c>
      <c r="X87" s="138"/>
    </row>
    <row r="88" spans="1:24" ht="15.75" hidden="1">
      <c r="A88" s="138"/>
      <c r="B88" s="201" t="s">
        <v>78</v>
      </c>
      <c r="C88" s="202" t="s">
        <v>79</v>
      </c>
      <c r="D88" s="203">
        <v>4143.3599999999997</v>
      </c>
      <c r="E88" s="203">
        <v>4487.17</v>
      </c>
      <c r="F88" s="203">
        <f>E88-D88</f>
        <v>343.8100000000004</v>
      </c>
      <c r="G88" s="203">
        <v>4353.21</v>
      </c>
      <c r="H88" s="203">
        <v>5286.2734547000018</v>
      </c>
      <c r="I88" s="203">
        <f>H88-G88</f>
        <v>933.06345470000178</v>
      </c>
      <c r="J88" s="203">
        <v>5337</v>
      </c>
      <c r="K88" s="203">
        <v>8103.1168188032398</v>
      </c>
      <c r="L88" s="203">
        <f>K88-J88</f>
        <v>2766.1168188032398</v>
      </c>
      <c r="M88" s="203">
        <v>6830.99</v>
      </c>
      <c r="N88" s="203">
        <v>8480</v>
      </c>
      <c r="O88" s="203">
        <f>N88-M88</f>
        <v>1649.0100000000002</v>
      </c>
      <c r="P88" s="203">
        <v>8090.17</v>
      </c>
      <c r="Q88" s="203">
        <v>9430</v>
      </c>
      <c r="R88" s="203">
        <f>Q88-P88</f>
        <v>1339.83</v>
      </c>
      <c r="S88" s="204">
        <f t="shared" ref="S88:S101" si="43">D88+G88+J88+M88+P88</f>
        <v>28754.729999999996</v>
      </c>
      <c r="T88" s="204">
        <f t="shared" si="41"/>
        <v>35786.560273503244</v>
      </c>
      <c r="U88" s="204">
        <f t="shared" si="41"/>
        <v>7031.8302735032421</v>
      </c>
      <c r="V88" s="152">
        <f t="shared" si="42"/>
        <v>5642.3406114590016</v>
      </c>
      <c r="W88" s="152">
        <f t="shared" ref="W88:W97" si="44">U88*$W$4</f>
        <v>1389.4896620442407</v>
      </c>
      <c r="X88" s="138"/>
    </row>
    <row r="89" spans="1:24" ht="15.75" hidden="1">
      <c r="A89" s="138"/>
      <c r="B89" s="201" t="s">
        <v>80</v>
      </c>
      <c r="C89" s="202" t="s">
        <v>79</v>
      </c>
      <c r="D89" s="203">
        <v>250.09</v>
      </c>
      <c r="E89" s="203">
        <v>251.26</v>
      </c>
      <c r="F89" s="203">
        <f t="shared" ref="F89:F98" si="45">E89-D89</f>
        <v>1.1699999999999875</v>
      </c>
      <c r="G89" s="203">
        <v>267.3</v>
      </c>
      <c r="H89" s="203">
        <v>267</v>
      </c>
      <c r="I89" s="203">
        <f t="shared" ref="I89:I100" si="46">H89-G89</f>
        <v>-0.30000000000001137</v>
      </c>
      <c r="J89" s="203">
        <v>310</v>
      </c>
      <c r="K89" s="203">
        <v>310</v>
      </c>
      <c r="L89" s="203">
        <f t="shared" ref="L89:L101" si="47">K89-J89</f>
        <v>0</v>
      </c>
      <c r="M89" s="203">
        <v>336.26</v>
      </c>
      <c r="N89" s="203">
        <v>335.99999999999994</v>
      </c>
      <c r="O89" s="203">
        <f t="shared" ref="O89:O101" si="48">N89-M89</f>
        <v>-0.26000000000004775</v>
      </c>
      <c r="P89" s="203">
        <v>397.75</v>
      </c>
      <c r="Q89" s="203">
        <v>398</v>
      </c>
      <c r="R89" s="203">
        <f t="shared" ref="R89:R101" si="49">Q89-P89</f>
        <v>0.25</v>
      </c>
      <c r="S89" s="204">
        <f t="shared" si="43"/>
        <v>1561.4</v>
      </c>
      <c r="T89" s="204">
        <f t="shared" si="41"/>
        <v>1562.26</v>
      </c>
      <c r="U89" s="204">
        <f t="shared" si="41"/>
        <v>0.85999999999992838</v>
      </c>
      <c r="V89" s="152">
        <f t="shared" si="42"/>
        <v>0.6900639999999425</v>
      </c>
      <c r="W89" s="152">
        <f t="shared" si="44"/>
        <v>0.16993599999998585</v>
      </c>
      <c r="X89" s="138"/>
    </row>
    <row r="90" spans="1:24" ht="15.75" hidden="1">
      <c r="A90" s="138"/>
      <c r="B90" s="201" t="s">
        <v>81</v>
      </c>
      <c r="C90" s="202" t="s">
        <v>79</v>
      </c>
      <c r="D90" s="203">
        <v>10.91</v>
      </c>
      <c r="E90" s="203">
        <v>10.97</v>
      </c>
      <c r="F90" s="203">
        <f t="shared" si="45"/>
        <v>6.0000000000000497E-2</v>
      </c>
      <c r="G90" s="203">
        <v>11.16</v>
      </c>
      <c r="H90" s="203">
        <v>11.17</v>
      </c>
      <c r="I90" s="203">
        <f t="shared" si="46"/>
        <v>9.9999999999997868E-3</v>
      </c>
      <c r="J90" s="203">
        <v>11</v>
      </c>
      <c r="K90" s="203">
        <v>12</v>
      </c>
      <c r="L90" s="203">
        <f t="shared" si="47"/>
        <v>1</v>
      </c>
      <c r="M90" s="203">
        <v>12.74</v>
      </c>
      <c r="N90" s="203">
        <v>13</v>
      </c>
      <c r="O90" s="203">
        <f t="shared" si="48"/>
        <v>0.25999999999999979</v>
      </c>
      <c r="P90" s="203">
        <v>11.79</v>
      </c>
      <c r="Q90" s="203">
        <v>13</v>
      </c>
      <c r="R90" s="203">
        <f t="shared" si="49"/>
        <v>1.2100000000000009</v>
      </c>
      <c r="S90" s="204">
        <f t="shared" si="43"/>
        <v>57.6</v>
      </c>
      <c r="T90" s="204">
        <f t="shared" si="41"/>
        <v>60.14</v>
      </c>
      <c r="U90" s="204">
        <f t="shared" si="41"/>
        <v>2.5400000000000009</v>
      </c>
      <c r="V90" s="152">
        <f t="shared" si="42"/>
        <v>2.0380960000000008</v>
      </c>
      <c r="W90" s="152">
        <f t="shared" si="44"/>
        <v>0.50190400000000013</v>
      </c>
      <c r="X90" s="138"/>
    </row>
    <row r="91" spans="1:24" ht="15.75" hidden="1">
      <c r="A91" s="138"/>
      <c r="B91" s="201" t="s">
        <v>82</v>
      </c>
      <c r="C91" s="202" t="s">
        <v>79</v>
      </c>
      <c r="D91" s="203">
        <v>84.78</v>
      </c>
      <c r="E91" s="203">
        <v>131.88</v>
      </c>
      <c r="F91" s="203">
        <f t="shared" si="45"/>
        <v>47.099999999999994</v>
      </c>
      <c r="G91" s="203">
        <v>100.1</v>
      </c>
      <c r="H91" s="203">
        <v>140.24</v>
      </c>
      <c r="I91" s="203">
        <f t="shared" si="46"/>
        <v>40.140000000000015</v>
      </c>
      <c r="J91" s="203">
        <v>135</v>
      </c>
      <c r="K91" s="203">
        <v>155</v>
      </c>
      <c r="L91" s="203">
        <f t="shared" si="47"/>
        <v>20</v>
      </c>
      <c r="M91" s="203">
        <v>128.24</v>
      </c>
      <c r="N91" s="203">
        <v>182</v>
      </c>
      <c r="O91" s="203">
        <f t="shared" si="48"/>
        <v>53.759999999999991</v>
      </c>
      <c r="P91" s="203">
        <v>153.78</v>
      </c>
      <c r="Q91" s="203">
        <v>176</v>
      </c>
      <c r="R91" s="203">
        <f t="shared" si="49"/>
        <v>22.22</v>
      </c>
      <c r="S91" s="204">
        <f t="shared" si="43"/>
        <v>601.9</v>
      </c>
      <c r="T91" s="204">
        <f t="shared" si="41"/>
        <v>785.12</v>
      </c>
      <c r="U91" s="204">
        <f t="shared" si="41"/>
        <v>183.22</v>
      </c>
      <c r="V91" s="152">
        <f t="shared" si="42"/>
        <v>147.015728</v>
      </c>
      <c r="W91" s="152">
        <f t="shared" si="44"/>
        <v>36.204271999999996</v>
      </c>
      <c r="X91" s="138"/>
    </row>
    <row r="92" spans="1:24" ht="15.75" hidden="1">
      <c r="A92" s="138"/>
      <c r="B92" s="201" t="s">
        <v>83</v>
      </c>
      <c r="C92" s="202" t="s">
        <v>79</v>
      </c>
      <c r="D92" s="203"/>
      <c r="E92" s="203"/>
      <c r="F92" s="203">
        <f t="shared" si="45"/>
        <v>0</v>
      </c>
      <c r="G92" s="203"/>
      <c r="H92" s="203"/>
      <c r="I92" s="203">
        <f t="shared" si="46"/>
        <v>0</v>
      </c>
      <c r="J92" s="203"/>
      <c r="K92" s="203">
        <v>12</v>
      </c>
      <c r="L92" s="203">
        <f t="shared" si="47"/>
        <v>12</v>
      </c>
      <c r="M92" s="203">
        <v>12.08</v>
      </c>
      <c r="N92" s="203">
        <v>13.999999999999998</v>
      </c>
      <c r="O92" s="203">
        <f t="shared" si="48"/>
        <v>1.9199999999999982</v>
      </c>
      <c r="P92" s="203">
        <v>12</v>
      </c>
      <c r="Q92" s="203">
        <v>12</v>
      </c>
      <c r="R92" s="203">
        <f t="shared" si="49"/>
        <v>0</v>
      </c>
      <c r="S92" s="204">
        <f t="shared" si="43"/>
        <v>24.08</v>
      </c>
      <c r="T92" s="204">
        <f t="shared" si="41"/>
        <v>38</v>
      </c>
      <c r="U92" s="204">
        <f t="shared" si="41"/>
        <v>13.919999999999998</v>
      </c>
      <c r="V92" s="152">
        <f t="shared" si="42"/>
        <v>11.169407999999999</v>
      </c>
      <c r="W92" s="152">
        <f t="shared" si="44"/>
        <v>2.7505919999999997</v>
      </c>
      <c r="X92" s="138"/>
    </row>
    <row r="93" spans="1:24" ht="15.75" hidden="1">
      <c r="A93" s="138"/>
      <c r="B93" s="205" t="s">
        <v>84</v>
      </c>
      <c r="C93" s="202" t="s">
        <v>79</v>
      </c>
      <c r="D93" s="206">
        <f>D18</f>
        <v>1634.5232994759674</v>
      </c>
      <c r="E93" s="206">
        <f>D93</f>
        <v>1634.5232994759674</v>
      </c>
      <c r="F93" s="203">
        <f t="shared" si="45"/>
        <v>0</v>
      </c>
      <c r="G93" s="206">
        <f>G18</f>
        <v>1830.6424234126682</v>
      </c>
      <c r="H93" s="206">
        <f>G93</f>
        <v>1830.6424234126682</v>
      </c>
      <c r="I93" s="203">
        <f t="shared" si="46"/>
        <v>0</v>
      </c>
      <c r="J93" s="206">
        <f>J18</f>
        <v>2267.9754569004035</v>
      </c>
      <c r="K93" s="206">
        <f>J93</f>
        <v>2267.9754569004035</v>
      </c>
      <c r="L93" s="203">
        <f t="shared" si="47"/>
        <v>0</v>
      </c>
      <c r="M93" s="206">
        <f>M18</f>
        <v>2662.9030906794396</v>
      </c>
      <c r="N93" s="206">
        <f>M93</f>
        <v>2662.9030906794396</v>
      </c>
      <c r="O93" s="203">
        <f t="shared" si="48"/>
        <v>0</v>
      </c>
      <c r="P93" s="206">
        <f>P18</f>
        <v>3098.7233947072468</v>
      </c>
      <c r="Q93" s="206">
        <f>P93</f>
        <v>3098.7233947072468</v>
      </c>
      <c r="R93" s="203">
        <f t="shared" si="49"/>
        <v>0</v>
      </c>
      <c r="S93" s="204">
        <f t="shared" si="43"/>
        <v>11494.767665175727</v>
      </c>
      <c r="T93" s="204">
        <f t="shared" si="41"/>
        <v>11494.767665175727</v>
      </c>
      <c r="U93" s="204">
        <f t="shared" si="41"/>
        <v>0</v>
      </c>
      <c r="V93" s="152">
        <f>SUM(V87:V92)</f>
        <v>9050.2698194589993</v>
      </c>
      <c r="W93" s="152">
        <f t="shared" si="44"/>
        <v>0</v>
      </c>
      <c r="X93" s="138"/>
    </row>
    <row r="94" spans="1:24" ht="15.75" hidden="1">
      <c r="A94" s="138">
        <v>1</v>
      </c>
      <c r="B94" s="205" t="s">
        <v>85</v>
      </c>
      <c r="C94" s="202" t="s">
        <v>79</v>
      </c>
      <c r="D94" s="203">
        <v>37.770000000000003</v>
      </c>
      <c r="E94" s="203">
        <v>39.159999999999997</v>
      </c>
      <c r="F94" s="203">
        <f t="shared" si="45"/>
        <v>1.3899999999999935</v>
      </c>
      <c r="G94" s="203">
        <v>45.35</v>
      </c>
      <c r="H94" s="203">
        <v>44.71</v>
      </c>
      <c r="I94" s="203">
        <f t="shared" si="46"/>
        <v>-0.64000000000000057</v>
      </c>
      <c r="J94" s="203">
        <v>45</v>
      </c>
      <c r="K94" s="203">
        <v>55.67</v>
      </c>
      <c r="L94" s="203">
        <f t="shared" si="47"/>
        <v>10.670000000000002</v>
      </c>
      <c r="M94" s="203">
        <v>65.319999999999993</v>
      </c>
      <c r="N94" s="203">
        <v>65.91</v>
      </c>
      <c r="O94" s="203">
        <f t="shared" si="48"/>
        <v>0.59000000000000341</v>
      </c>
      <c r="P94" s="203">
        <v>79.010000000000005</v>
      </c>
      <c r="Q94" s="203">
        <v>72.81</v>
      </c>
      <c r="R94" s="203">
        <f t="shared" si="49"/>
        <v>-6.2000000000000028</v>
      </c>
      <c r="S94" s="204">
        <f t="shared" si="43"/>
        <v>272.45</v>
      </c>
      <c r="T94" s="204">
        <f t="shared" si="41"/>
        <v>278.26</v>
      </c>
      <c r="U94" s="204">
        <f t="shared" si="41"/>
        <v>5.8099999999999952</v>
      </c>
      <c r="V94" s="152">
        <f>U94*$V$4</f>
        <v>4.6619439999999965</v>
      </c>
      <c r="W94" s="152">
        <f t="shared" si="44"/>
        <v>1.1480559999999991</v>
      </c>
      <c r="X94" s="138"/>
    </row>
    <row r="95" spans="1:24" ht="15.75" hidden="1">
      <c r="A95" s="138">
        <v>2</v>
      </c>
      <c r="B95" s="205" t="s">
        <v>86</v>
      </c>
      <c r="C95" s="202" t="s">
        <v>79</v>
      </c>
      <c r="D95" s="206">
        <f>D71*0.25*0.02</f>
        <v>11.118131979038694</v>
      </c>
      <c r="E95" s="206">
        <f>E71*0.25*0.02</f>
        <v>11.90030058380283</v>
      </c>
      <c r="F95" s="203">
        <f t="shared" si="45"/>
        <v>0.78216860476413608</v>
      </c>
      <c r="G95" s="206">
        <f>G71*0.25*0.02</f>
        <v>15.039863903253021</v>
      </c>
      <c r="H95" s="206">
        <f>H71*0.25*0.02</f>
        <v>15.842807345958246</v>
      </c>
      <c r="I95" s="203">
        <f t="shared" si="46"/>
        <v>0.80294344270522444</v>
      </c>
      <c r="J95" s="206">
        <f>J71*0.25*0.02</f>
        <v>19.60665791321745</v>
      </c>
      <c r="K95" s="206">
        <f>K71*0.25*0.02</f>
        <v>20.822516005951165</v>
      </c>
      <c r="L95" s="203">
        <f t="shared" si="47"/>
        <v>1.2158580927337148</v>
      </c>
      <c r="M95" s="206">
        <f>M71*0.25*0.02</f>
        <v>24.404071318744656</v>
      </c>
      <c r="N95" s="206">
        <f>N71*0.25*0.02</f>
        <v>22.873242935038324</v>
      </c>
      <c r="O95" s="203">
        <f t="shared" si="48"/>
        <v>-1.5308283837063321</v>
      </c>
      <c r="P95" s="206">
        <f>P71*0.25*0.02</f>
        <v>29.199487695169857</v>
      </c>
      <c r="Q95" s="206">
        <f>Q71*0.25*0.02</f>
        <v>23.873347104157723</v>
      </c>
      <c r="R95" s="203">
        <f t="shared" si="49"/>
        <v>-5.326140591012134</v>
      </c>
      <c r="S95" s="204">
        <f t="shared" si="43"/>
        <v>99.368212809423682</v>
      </c>
      <c r="T95" s="204">
        <f t="shared" si="41"/>
        <v>95.312213974908275</v>
      </c>
      <c r="U95" s="204">
        <f t="shared" si="41"/>
        <v>-4.0559988345153908</v>
      </c>
      <c r="V95" s="152">
        <f>U95*$V$4</f>
        <v>-3.2545334648151494</v>
      </c>
      <c r="W95" s="152">
        <f t="shared" si="44"/>
        <v>-0.80146536970024118</v>
      </c>
      <c r="X95" s="138"/>
    </row>
    <row r="96" spans="1:24" ht="15.75" hidden="1">
      <c r="A96" s="138">
        <v>3</v>
      </c>
      <c r="B96" s="207" t="s">
        <v>87</v>
      </c>
      <c r="C96" s="202" t="s">
        <v>79</v>
      </c>
      <c r="D96" s="203"/>
      <c r="E96" s="203"/>
      <c r="F96" s="203">
        <f>E96-D96</f>
        <v>0</v>
      </c>
      <c r="G96" s="203">
        <v>-289.64999999999998</v>
      </c>
      <c r="H96" s="203"/>
      <c r="I96" s="203">
        <f t="shared" si="46"/>
        <v>289.64999999999998</v>
      </c>
      <c r="J96" s="203">
        <v>1</v>
      </c>
      <c r="K96" s="203">
        <v>0</v>
      </c>
      <c r="L96" s="203">
        <f t="shared" si="47"/>
        <v>-1</v>
      </c>
      <c r="M96" s="203"/>
      <c r="N96" s="203">
        <v>0</v>
      </c>
      <c r="O96" s="203">
        <f t="shared" si="48"/>
        <v>0</v>
      </c>
      <c r="P96" s="203">
        <v>0</v>
      </c>
      <c r="Q96" s="203"/>
      <c r="R96" s="203">
        <f t="shared" si="49"/>
        <v>0</v>
      </c>
      <c r="S96" s="204">
        <f t="shared" si="43"/>
        <v>-288.64999999999998</v>
      </c>
      <c r="T96" s="204">
        <f t="shared" si="41"/>
        <v>0</v>
      </c>
      <c r="U96" s="204">
        <f t="shared" si="41"/>
        <v>288.64999999999998</v>
      </c>
      <c r="V96" s="152">
        <f>U96*$V$4</f>
        <v>231.61275999999998</v>
      </c>
      <c r="W96" s="152">
        <f t="shared" si="44"/>
        <v>57.037239999999997</v>
      </c>
      <c r="X96" s="138"/>
    </row>
    <row r="97" spans="1:24" s="96" customFormat="1" ht="47.25" hidden="1">
      <c r="A97" s="138" t="e">
        <f>#REF!/D97</f>
        <v>#REF!</v>
      </c>
      <c r="B97" s="207" t="s">
        <v>88</v>
      </c>
      <c r="C97" s="208" t="s">
        <v>79</v>
      </c>
      <c r="D97" s="209">
        <v>4619.07</v>
      </c>
      <c r="E97" s="209">
        <v>4676.8989478000003</v>
      </c>
      <c r="F97" s="209">
        <f t="shared" si="45"/>
        <v>57.828947800000606</v>
      </c>
      <c r="G97" s="209">
        <v>5035.34</v>
      </c>
      <c r="H97" s="209">
        <v>5613.35</v>
      </c>
      <c r="I97" s="209">
        <f t="shared" si="46"/>
        <v>578.01000000000022</v>
      </c>
      <c r="J97" s="209">
        <v>6465</v>
      </c>
      <c r="K97" s="209">
        <v>6239.22</v>
      </c>
      <c r="L97" s="209">
        <f t="shared" si="47"/>
        <v>-225.77999999999975</v>
      </c>
      <c r="M97" s="209">
        <v>7281</v>
      </c>
      <c r="N97" s="209">
        <v>6943.82</v>
      </c>
      <c r="O97" s="209">
        <f t="shared" si="48"/>
        <v>-337.18000000000029</v>
      </c>
      <c r="P97" s="209">
        <v>9044.1</v>
      </c>
      <c r="Q97" s="209">
        <v>8265.11</v>
      </c>
      <c r="R97" s="209">
        <f t="shared" si="49"/>
        <v>-778.98999999999978</v>
      </c>
      <c r="S97" s="204">
        <f t="shared" si="43"/>
        <v>32444.510000000002</v>
      </c>
      <c r="T97" s="204">
        <f t="shared" si="41"/>
        <v>31738.3989478</v>
      </c>
      <c r="U97" s="204">
        <f t="shared" si="41"/>
        <v>-706.11105219999899</v>
      </c>
      <c r="V97" s="152">
        <f>U97*$V$4</f>
        <v>-566.58350828527921</v>
      </c>
      <c r="W97" s="152">
        <f t="shared" si="44"/>
        <v>-139.52754391471979</v>
      </c>
      <c r="X97" s="210"/>
    </row>
    <row r="98" spans="1:24" ht="15.75" hidden="1">
      <c r="A98" s="138">
        <v>4</v>
      </c>
      <c r="B98" s="207" t="s">
        <v>36</v>
      </c>
      <c r="C98" s="202" t="s">
        <v>79</v>
      </c>
      <c r="D98" s="203">
        <v>404.37</v>
      </c>
      <c r="E98" s="203">
        <v>31.989999999999981</v>
      </c>
      <c r="F98" s="203">
        <f t="shared" si="45"/>
        <v>-372.38</v>
      </c>
      <c r="G98" s="203">
        <v>434.4</v>
      </c>
      <c r="H98" s="203">
        <v>158.81</v>
      </c>
      <c r="I98" s="203">
        <f t="shared" si="46"/>
        <v>-275.58999999999997</v>
      </c>
      <c r="J98" s="203">
        <v>87</v>
      </c>
      <c r="K98" s="203">
        <v>107.12476859899994</v>
      </c>
      <c r="L98" s="203">
        <f t="shared" si="47"/>
        <v>20.124768598999935</v>
      </c>
      <c r="M98" s="203">
        <v>108</v>
      </c>
      <c r="N98" s="203">
        <v>77.600421230999984</v>
      </c>
      <c r="O98" s="203">
        <f t="shared" si="48"/>
        <v>-30.399578769000016</v>
      </c>
      <c r="P98" s="203">
        <v>91</v>
      </c>
      <c r="Q98" s="203">
        <v>128.18387686700009</v>
      </c>
      <c r="R98" s="203">
        <f t="shared" si="49"/>
        <v>37.183876867000095</v>
      </c>
      <c r="S98" s="204">
        <f t="shared" si="43"/>
        <v>1124.77</v>
      </c>
      <c r="T98" s="204">
        <f t="shared" si="41"/>
        <v>503.70906669699997</v>
      </c>
      <c r="U98" s="204">
        <f t="shared" si="41"/>
        <v>-621.06093330300007</v>
      </c>
      <c r="V98" s="152">
        <f>U98*$V$4</f>
        <v>-498.33929288232724</v>
      </c>
      <c r="W98" s="152"/>
      <c r="X98" s="138"/>
    </row>
    <row r="99" spans="1:24" ht="15.75" hidden="1">
      <c r="A99" s="138"/>
      <c r="B99" s="207" t="s">
        <v>89</v>
      </c>
      <c r="C99" s="202"/>
      <c r="D99" s="206">
        <f>SUM(D88:D96)-SUM(D97:D98)</f>
        <v>1149.1114314550059</v>
      </c>
      <c r="E99" s="206">
        <f>SUM(E88:E96)-SUM(E97:E98)</f>
        <v>1857.9746522597707</v>
      </c>
      <c r="F99" s="203">
        <f>SUM(F88:F96)-F97-F98</f>
        <v>708.86322080476384</v>
      </c>
      <c r="G99" s="206">
        <f>SUM(G88:G96)-SUM(G97:G98)</f>
        <v>863.41228731592219</v>
      </c>
      <c r="H99" s="206">
        <f>SUM(H88:H96)-SUM(H97:H98)</f>
        <v>1823.7186854586271</v>
      </c>
      <c r="I99" s="203">
        <f>SUM(I90:I96)-SUM(I97:I98)</f>
        <v>27.542943442704939</v>
      </c>
      <c r="J99" s="206">
        <f>SUM(J88:J96)-SUM(J97:J98)</f>
        <v>1574.582114813621</v>
      </c>
      <c r="K99" s="206">
        <f>SUM(K88:K96)-SUM(K97:K98)</f>
        <v>4590.2400231105939</v>
      </c>
      <c r="L99" s="203"/>
      <c r="M99" s="206">
        <f>SUM(M88:M96)-SUM(M97:M98)</f>
        <v>2683.937161998183</v>
      </c>
      <c r="N99" s="206">
        <f>SUM(N88:N96)-SUM(N97:N98)</f>
        <v>4755.2659123834783</v>
      </c>
      <c r="O99" s="203">
        <f t="shared" si="48"/>
        <v>2071.3287503852953</v>
      </c>
      <c r="P99" s="206">
        <f>SUM(P88:P96)-SUM(P97:P98)</f>
        <v>2737.3228824024191</v>
      </c>
      <c r="Q99" s="206">
        <f>SUM(Q88:Q96)-SUM(Q97:Q98)</f>
        <v>4831.1128649444036</v>
      </c>
      <c r="R99" s="203">
        <f t="shared" si="49"/>
        <v>2093.7899825419845</v>
      </c>
      <c r="S99" s="204">
        <f t="shared" si="43"/>
        <v>9008.3658779851503</v>
      </c>
      <c r="T99" s="204">
        <f t="shared" si="41"/>
        <v>17858.312138156874</v>
      </c>
      <c r="U99" s="204">
        <f t="shared" si="41"/>
        <v>4901.5248971747487</v>
      </c>
      <c r="V99" s="144">
        <f>V93-V97</f>
        <v>9616.8533277442784</v>
      </c>
      <c r="W99" s="144">
        <f>W93-W97</f>
        <v>139.52754391471979</v>
      </c>
      <c r="X99" s="138"/>
    </row>
    <row r="100" spans="1:24" s="96" customFormat="1" ht="31.5" hidden="1">
      <c r="A100" s="210">
        <f>344-58</f>
        <v>286</v>
      </c>
      <c r="B100" s="207" t="s">
        <v>90</v>
      </c>
      <c r="C100" s="208" t="s">
        <v>79</v>
      </c>
      <c r="D100" s="209">
        <v>147.85000000000025</v>
      </c>
      <c r="E100" s="209">
        <v>147.85</v>
      </c>
      <c r="F100" s="209">
        <f>E100-D100</f>
        <v>-2.5579538487363607E-13</v>
      </c>
      <c r="G100" s="209">
        <v>0</v>
      </c>
      <c r="H100" s="209"/>
      <c r="I100" s="209">
        <f t="shared" si="46"/>
        <v>0</v>
      </c>
      <c r="J100" s="209">
        <v>32</v>
      </c>
      <c r="K100" s="209">
        <v>32</v>
      </c>
      <c r="L100" s="209">
        <f t="shared" si="47"/>
        <v>0</v>
      </c>
      <c r="M100" s="209">
        <v>1027.3199999999979</v>
      </c>
      <c r="N100" s="209">
        <v>1027.71</v>
      </c>
      <c r="O100" s="209">
        <f t="shared" si="48"/>
        <v>0.39000000000214641</v>
      </c>
      <c r="P100" s="209">
        <v>820.32000000000153</v>
      </c>
      <c r="Q100" s="209">
        <v>820.17</v>
      </c>
      <c r="R100" s="209">
        <f t="shared" si="49"/>
        <v>-0.15000000000156888</v>
      </c>
      <c r="S100" s="204">
        <f t="shared" si="43"/>
        <v>2027.4899999999998</v>
      </c>
      <c r="T100" s="204">
        <f t="shared" si="41"/>
        <v>2027.73</v>
      </c>
      <c r="U100" s="204">
        <f t="shared" si="41"/>
        <v>0.24000000000032173</v>
      </c>
      <c r="V100" s="210"/>
      <c r="W100" s="210"/>
      <c r="X100" s="210"/>
    </row>
    <row r="101" spans="1:24" ht="15.75" hidden="1">
      <c r="A101" s="138">
        <v>48</v>
      </c>
      <c r="B101" s="207" t="s">
        <v>91</v>
      </c>
      <c r="C101" s="202" t="s">
        <v>79</v>
      </c>
      <c r="D101" s="211">
        <f>D99-D100</f>
        <v>1001.2614314550057</v>
      </c>
      <c r="E101" s="211">
        <f>E99-E100</f>
        <v>1710.1246522597708</v>
      </c>
      <c r="F101" s="211">
        <f>E101-D101</f>
        <v>708.86322080476509</v>
      </c>
      <c r="G101" s="211">
        <f>G99-G100</f>
        <v>863.41228731592219</v>
      </c>
      <c r="H101" s="211">
        <f>H99-H100</f>
        <v>1823.7186854586271</v>
      </c>
      <c r="I101" s="212">
        <f>H101-G101</f>
        <v>960.30639814270489</v>
      </c>
      <c r="J101" s="211">
        <f>J99-J100</f>
        <v>1542.582114813621</v>
      </c>
      <c r="K101" s="211">
        <f>K99-K100</f>
        <v>4558.2400231105939</v>
      </c>
      <c r="L101" s="212">
        <f t="shared" si="47"/>
        <v>3015.6579082969729</v>
      </c>
      <c r="M101" s="211">
        <f>M99-M100</f>
        <v>1656.6171619981851</v>
      </c>
      <c r="N101" s="211">
        <f>N99-N100</f>
        <v>3727.5559123834782</v>
      </c>
      <c r="O101" s="212">
        <f t="shared" si="48"/>
        <v>2070.9387503852931</v>
      </c>
      <c r="P101" s="211">
        <f>P99-P100</f>
        <v>1917.0028824024175</v>
      </c>
      <c r="Q101" s="211">
        <f>Q99-Q100</f>
        <v>4010.9428649444035</v>
      </c>
      <c r="R101" s="212">
        <f t="shared" si="49"/>
        <v>2093.939982541986</v>
      </c>
      <c r="S101" s="204">
        <f t="shared" si="43"/>
        <v>6980.8758779851514</v>
      </c>
      <c r="T101" s="204">
        <f t="shared" si="41"/>
        <v>15830.582138156873</v>
      </c>
      <c r="U101" s="204">
        <f t="shared" si="41"/>
        <v>8849.7062601717225</v>
      </c>
      <c r="V101" s="138"/>
      <c r="W101" s="138"/>
      <c r="X101" s="138"/>
    </row>
    <row r="102" spans="1:24" hidden="1">
      <c r="A102" s="138">
        <v>0</v>
      </c>
      <c r="B102" s="138"/>
      <c r="C102" s="138"/>
      <c r="D102" s="138"/>
      <c r="E102" s="138"/>
      <c r="F102" s="213">
        <f>SUM(F88:F96)-F97-F98</f>
        <v>708.86322080476384</v>
      </c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</row>
    <row r="103" spans="1:24" ht="15.75" hidden="1">
      <c r="A103" s="138">
        <v>372</v>
      </c>
      <c r="B103" s="214" t="s">
        <v>92</v>
      </c>
      <c r="C103" s="202" t="s">
        <v>79</v>
      </c>
      <c r="D103" s="215"/>
      <c r="E103" s="215"/>
      <c r="F103" s="203">
        <f>E103-D103</f>
        <v>0</v>
      </c>
      <c r="G103" s="215"/>
      <c r="H103" s="215"/>
      <c r="I103" s="215"/>
      <c r="J103" s="203">
        <v>748.32</v>
      </c>
      <c r="K103" s="203">
        <v>462.15</v>
      </c>
      <c r="L103" s="203">
        <f>K103-J103</f>
        <v>-286.17000000000007</v>
      </c>
      <c r="M103" s="203">
        <v>642.11</v>
      </c>
      <c r="N103" s="203">
        <v>36.979999999999997</v>
      </c>
      <c r="O103" s="203">
        <f>N103-M103</f>
        <v>-605.13</v>
      </c>
      <c r="P103" s="203">
        <v>950.73</v>
      </c>
      <c r="Q103" s="203">
        <v>915.83</v>
      </c>
      <c r="R103" s="203">
        <f>Q103-P103</f>
        <v>-34.899999999999977</v>
      </c>
      <c r="S103" s="204">
        <f>D103+G103+J103+M103+P103</f>
        <v>2341.16</v>
      </c>
      <c r="T103" s="204">
        <f t="shared" ref="T103:U103" si="50">E103+H103+K103+N103+Q103</f>
        <v>1414.96</v>
      </c>
      <c r="U103" s="204">
        <f t="shared" si="50"/>
        <v>-926.2</v>
      </c>
      <c r="V103" s="138"/>
      <c r="W103" s="138"/>
      <c r="X103" s="138"/>
    </row>
    <row r="104" spans="1:24" hidden="1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</row>
    <row r="105" spans="1:24" ht="15.75" hidden="1">
      <c r="A105" s="138"/>
      <c r="B105" s="207" t="s">
        <v>93</v>
      </c>
      <c r="C105" s="202" t="s">
        <v>79</v>
      </c>
      <c r="D105" s="216"/>
      <c r="E105" s="216"/>
      <c r="F105" s="203">
        <f>F101-E103</f>
        <v>708.86322080476509</v>
      </c>
      <c r="G105" s="216"/>
      <c r="H105" s="216"/>
      <c r="I105" s="203">
        <f>I101-H103</f>
        <v>960.30639814270489</v>
      </c>
      <c r="J105" s="216"/>
      <c r="K105" s="216"/>
      <c r="L105" s="203">
        <f>L101-K103</f>
        <v>2553.5079082969728</v>
      </c>
      <c r="M105" s="216"/>
      <c r="N105" s="216"/>
      <c r="O105" s="203">
        <f>O101-N103</f>
        <v>2033.9587503852931</v>
      </c>
      <c r="P105" s="216"/>
      <c r="Q105" s="216"/>
      <c r="R105" s="203">
        <f>R101-Q103</f>
        <v>1178.109982541986</v>
      </c>
      <c r="S105" s="204"/>
      <c r="T105" s="204"/>
      <c r="U105" s="204">
        <f>F105+I105+L105+O105+R105</f>
        <v>7434.7462601717216</v>
      </c>
      <c r="V105" s="204" t="e">
        <f>G105+J105+M105+P105+#REF!</f>
        <v>#REF!</v>
      </c>
      <c r="W105" s="204" t="e">
        <f>H105+K105+N105+Q105+#REF!</f>
        <v>#REF!</v>
      </c>
      <c r="X105" s="138"/>
    </row>
    <row r="106" spans="1:24" hidden="1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213"/>
      <c r="M106" s="138"/>
      <c r="N106" s="138"/>
      <c r="O106" s="138"/>
      <c r="P106" s="138"/>
      <c r="Q106" s="138"/>
      <c r="R106" s="138"/>
      <c r="S106" s="138"/>
      <c r="T106" s="138"/>
      <c r="U106" s="217"/>
      <c r="V106" s="138"/>
      <c r="W106" s="138"/>
      <c r="X106" s="138"/>
    </row>
    <row r="107" spans="1:24" hidden="1">
      <c r="A107" s="138"/>
      <c r="B107" s="218" t="s">
        <v>94</v>
      </c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</row>
    <row r="108" spans="1:24" hidden="1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</row>
    <row r="109" spans="1:24" hidden="1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</row>
    <row r="110" spans="1:24" hidden="1">
      <c r="A110" s="138"/>
      <c r="B110" s="219" t="s">
        <v>71</v>
      </c>
      <c r="C110" s="141">
        <v>0.11</v>
      </c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</row>
    <row r="111" spans="1:24" hidden="1">
      <c r="A111" s="138"/>
      <c r="B111" s="220" t="s">
        <v>72</v>
      </c>
      <c r="C111" s="138"/>
      <c r="D111" s="138"/>
      <c r="E111" s="138"/>
      <c r="F111" s="221">
        <v>0</v>
      </c>
      <c r="G111" s="138"/>
      <c r="H111" s="217"/>
      <c r="I111" s="221">
        <f>F114</f>
        <v>786.83817509328924</v>
      </c>
      <c r="J111" s="138"/>
      <c r="K111" s="138"/>
      <c r="L111" s="221">
        <f>I114</f>
        <v>1939.3304762919536</v>
      </c>
      <c r="M111" s="138"/>
      <c r="N111" s="138"/>
      <c r="O111" s="221">
        <f>L114</f>
        <v>4987.0506068937084</v>
      </c>
      <c r="P111" s="138"/>
      <c r="Q111" s="138"/>
      <c r="R111" s="221">
        <f>O114</f>
        <v>7793.3203865796913</v>
      </c>
      <c r="S111" s="138"/>
      <c r="T111" s="138"/>
      <c r="U111" s="138"/>
      <c r="V111" s="138"/>
      <c r="W111" s="138"/>
      <c r="X111" s="138"/>
    </row>
    <row r="112" spans="1:24" hidden="1">
      <c r="A112" s="138"/>
      <c r="B112" s="220" t="s">
        <v>73</v>
      </c>
      <c r="C112" s="138"/>
      <c r="D112" s="138"/>
      <c r="E112" s="138"/>
      <c r="F112" s="221">
        <f>F105</f>
        <v>708.86322080476509</v>
      </c>
      <c r="G112" s="138"/>
      <c r="H112" s="138"/>
      <c r="I112" s="221">
        <f>I105</f>
        <v>960.30639814270489</v>
      </c>
      <c r="J112" s="138"/>
      <c r="K112" s="138"/>
      <c r="L112" s="221">
        <f>L105</f>
        <v>2553.5079082969728</v>
      </c>
      <c r="M112" s="138"/>
      <c r="N112" s="138"/>
      <c r="O112" s="221">
        <f>O105</f>
        <v>2033.9587503852931</v>
      </c>
      <c r="P112" s="138"/>
      <c r="Q112" s="138"/>
      <c r="R112" s="221">
        <f>R105</f>
        <v>1178.109982541986</v>
      </c>
      <c r="S112" s="138"/>
      <c r="T112" s="138"/>
      <c r="U112" s="204">
        <f>F112+I112+L112+O112+R112</f>
        <v>7434.7462601717216</v>
      </c>
      <c r="V112" s="138"/>
      <c r="W112" s="138"/>
      <c r="X112" s="138"/>
    </row>
    <row r="113" spans="1:24" hidden="1">
      <c r="A113" s="138"/>
      <c r="B113" s="220" t="s">
        <v>74</v>
      </c>
      <c r="C113" s="138"/>
      <c r="D113" s="138"/>
      <c r="E113" s="138"/>
      <c r="F113" s="221">
        <f>(F111+F112)*$C$81</f>
        <v>77.97495428852416</v>
      </c>
      <c r="G113" s="138"/>
      <c r="H113" s="222"/>
      <c r="I113" s="221">
        <f>(I111+I112)*$C$81</f>
        <v>192.18590305595936</v>
      </c>
      <c r="J113" s="138"/>
      <c r="K113" s="138"/>
      <c r="L113" s="221">
        <f>(L111+L112)*$C$81</f>
        <v>494.2122223047819</v>
      </c>
      <c r="M113" s="138"/>
      <c r="N113" s="138"/>
      <c r="O113" s="221">
        <f>(O111+O112)*$C$81</f>
        <v>772.31102930069017</v>
      </c>
      <c r="P113" s="138"/>
      <c r="Q113" s="138"/>
      <c r="R113" s="221">
        <f>(R111+R112)*$C$81</f>
        <v>986.8573406033845</v>
      </c>
      <c r="S113" s="138"/>
      <c r="T113" s="138"/>
      <c r="U113" s="204">
        <f>F113+I113+L113+O113+R113</f>
        <v>2523.5414495533405</v>
      </c>
      <c r="V113" s="138"/>
      <c r="W113" s="138"/>
      <c r="X113" s="138"/>
    </row>
    <row r="114" spans="1:24" hidden="1">
      <c r="A114" s="138"/>
      <c r="B114" s="220" t="s">
        <v>75</v>
      </c>
      <c r="C114" s="138"/>
      <c r="D114" s="138"/>
      <c r="E114" s="138"/>
      <c r="F114" s="221">
        <f>F111+F112+F113</f>
        <v>786.83817509328924</v>
      </c>
      <c r="G114" s="138"/>
      <c r="H114" s="217"/>
      <c r="I114" s="221">
        <f>I111+I112+I113</f>
        <v>1939.3304762919536</v>
      </c>
      <c r="J114" s="138"/>
      <c r="K114" s="138"/>
      <c r="L114" s="221">
        <f>L111+L112+L113</f>
        <v>4987.0506068937084</v>
      </c>
      <c r="M114" s="138"/>
      <c r="N114" s="138"/>
      <c r="O114" s="221">
        <f>O111+O112+O113</f>
        <v>7793.3203865796913</v>
      </c>
      <c r="P114" s="138"/>
      <c r="Q114" s="138"/>
      <c r="R114" s="221">
        <f>R111+R112+R113</f>
        <v>9958.2877097250621</v>
      </c>
      <c r="S114" s="138"/>
      <c r="T114" s="138"/>
      <c r="U114" s="138"/>
      <c r="V114" s="138"/>
      <c r="W114" s="138"/>
      <c r="X114" s="138"/>
    </row>
    <row r="115" spans="1:24" hidden="1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</row>
    <row r="116" spans="1:24" hidden="1">
      <c r="D116" s="81"/>
      <c r="E116" s="81"/>
      <c r="F116" s="81"/>
    </row>
    <row r="117" spans="1:24" ht="15.75" hidden="1">
      <c r="B117" s="92" t="s">
        <v>78</v>
      </c>
    </row>
    <row r="118" spans="1:24" ht="15.75" hidden="1">
      <c r="B118" s="92" t="s">
        <v>80</v>
      </c>
    </row>
    <row r="119" spans="1:24" ht="15.75" hidden="1">
      <c r="B119" s="92" t="s">
        <v>81</v>
      </c>
    </row>
    <row r="120" spans="1:24" ht="15.75" hidden="1">
      <c r="B120" s="92" t="s">
        <v>82</v>
      </c>
    </row>
    <row r="121" spans="1:24" ht="15.75" hidden="1">
      <c r="B121" s="92" t="s">
        <v>83</v>
      </c>
    </row>
    <row r="122" spans="1:24" ht="15.75" hidden="1">
      <c r="B122" s="93" t="s">
        <v>84</v>
      </c>
    </row>
    <row r="123" spans="1:24" ht="15.75" hidden="1">
      <c r="B123" s="93" t="s">
        <v>85</v>
      </c>
    </row>
    <row r="124" spans="1:24" ht="15.75" hidden="1">
      <c r="B124" s="93" t="s">
        <v>86</v>
      </c>
    </row>
    <row r="125" spans="1:24" ht="15.75" hidden="1">
      <c r="B125" s="94" t="s">
        <v>87</v>
      </c>
    </row>
    <row r="126" spans="1:24" ht="47.25" hidden="1">
      <c r="B126" s="95" t="s">
        <v>88</v>
      </c>
    </row>
    <row r="127" spans="1:24" ht="15.75" hidden="1">
      <c r="B127" s="94" t="s">
        <v>36</v>
      </c>
    </row>
    <row r="128" spans="1:24" ht="15.75" hidden="1">
      <c r="B128" s="94" t="s">
        <v>89</v>
      </c>
    </row>
    <row r="129" spans="2:21" ht="31.5" hidden="1">
      <c r="B129" s="95" t="s">
        <v>90</v>
      </c>
    </row>
    <row r="130" spans="2:21" ht="15.75" hidden="1">
      <c r="B130" s="95" t="s">
        <v>91</v>
      </c>
    </row>
    <row r="132" spans="2:21" s="18" customFormat="1"/>
    <row r="133" spans="2:21" s="18" customFormat="1" hidden="1">
      <c r="B133" s="177"/>
      <c r="D133" s="196"/>
      <c r="E133" s="196"/>
      <c r="F133" s="225"/>
      <c r="G133" s="196"/>
      <c r="H133" s="196"/>
      <c r="I133" s="225"/>
      <c r="J133" s="196"/>
      <c r="K133" s="196"/>
      <c r="L133" s="225"/>
      <c r="M133" s="196"/>
      <c r="N133" s="196"/>
      <c r="O133" s="225"/>
      <c r="P133" s="196"/>
      <c r="Q133" s="196"/>
      <c r="R133" s="225"/>
      <c r="S133" s="196"/>
      <c r="T133" s="196"/>
      <c r="U133" s="225"/>
    </row>
    <row r="134" spans="2:21" s="18" customFormat="1" hidden="1">
      <c r="I134" s="225"/>
      <c r="L134" s="225"/>
      <c r="O134" s="225"/>
      <c r="R134" s="225"/>
    </row>
    <row r="135" spans="2:21" s="18" customFormat="1" hidden="1"/>
    <row r="136" spans="2:21" s="18" customFormat="1"/>
    <row r="137" spans="2:21" s="18" customFormat="1"/>
    <row r="138" spans="2:21" s="18" customFormat="1">
      <c r="F138" s="226"/>
    </row>
    <row r="139" spans="2:21" s="18" customFormat="1"/>
    <row r="140" spans="2:21" s="18" customFormat="1"/>
    <row r="141" spans="2:21" s="18" customFormat="1" ht="15" hidden="1" customHeight="1"/>
    <row r="142" spans="2:21" s="18" customFormat="1" ht="15" hidden="1" customHeight="1"/>
    <row r="143" spans="2:21" s="18" customFormat="1" hidden="1"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24"/>
      <c r="T143" s="24"/>
      <c r="U143" s="196"/>
    </row>
    <row r="144" spans="2:21" s="18" customFormat="1" hidden="1"/>
    <row r="145" spans="2:17" s="18" customFormat="1" hidden="1">
      <c r="B145" s="177"/>
    </row>
    <row r="146" spans="2:17" s="18" customFormat="1" hidden="1"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</row>
    <row r="147" spans="2:17" s="18" customFormat="1" hidden="1"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</row>
    <row r="148" spans="2:17" s="18" customFormat="1" hidden="1"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</row>
    <row r="149" spans="2:17" s="18" customFormat="1"/>
    <row r="150" spans="2:17" s="18" customFormat="1"/>
    <row r="151" spans="2:17" s="18" customFormat="1"/>
    <row r="152" spans="2:17" s="18" customFormat="1">
      <c r="E152" s="227"/>
      <c r="H152" s="227"/>
      <c r="K152" s="227"/>
      <c r="N152" s="227"/>
      <c r="Q152" s="227"/>
    </row>
    <row r="153" spans="2:17" s="18" customFormat="1"/>
    <row r="154" spans="2:17" s="18" customFormat="1"/>
    <row r="155" spans="2:17" s="18" customFormat="1"/>
    <row r="156" spans="2:17" s="18" customFormat="1"/>
    <row r="157" spans="2:17" s="18" customFormat="1"/>
    <row r="158" spans="2:17" s="18" customFormat="1"/>
    <row r="159" spans="2:17" s="18" customFormat="1">
      <c r="E159" s="227"/>
      <c r="H159" s="227"/>
      <c r="K159" s="227"/>
      <c r="N159" s="227"/>
      <c r="Q159" s="227"/>
    </row>
    <row r="160" spans="2:17" s="18" customFormat="1"/>
    <row r="161" spans="5:17" s="18" customFormat="1"/>
    <row r="162" spans="5:17" s="18" customFormat="1"/>
    <row r="163" spans="5:17" s="18" customFormat="1"/>
    <row r="164" spans="5:17" s="18" customFormat="1"/>
    <row r="165" spans="5:17" s="18" customFormat="1">
      <c r="E165" s="227"/>
      <c r="H165" s="227"/>
      <c r="K165" s="227"/>
      <c r="N165" s="227"/>
      <c r="Q165" s="227"/>
    </row>
    <row r="166" spans="5:17" s="18" customFormat="1"/>
    <row r="167" spans="5:17" s="18" customFormat="1"/>
    <row r="168" spans="5:17" s="18" customFormat="1"/>
    <row r="169" spans="5:17" s="18" customFormat="1"/>
    <row r="170" spans="5:17" s="18" customFormat="1"/>
  </sheetData>
  <mergeCells count="18">
    <mergeCell ref="B73:P73"/>
    <mergeCell ref="S2:U2"/>
    <mergeCell ref="J3:L3"/>
    <mergeCell ref="M3:O3"/>
    <mergeCell ref="P3:R3"/>
    <mergeCell ref="S3:U3"/>
    <mergeCell ref="A2:C2"/>
    <mergeCell ref="D2:F2"/>
    <mergeCell ref="G2:I2"/>
    <mergeCell ref="J2:L2"/>
    <mergeCell ref="A3:A4"/>
    <mergeCell ref="B3:B4"/>
    <mergeCell ref="C3:C4"/>
    <mergeCell ref="D3:F3"/>
    <mergeCell ref="G3:I3"/>
    <mergeCell ref="M2:O2"/>
    <mergeCell ref="P2:R2"/>
    <mergeCell ref="B72:P72"/>
  </mergeCells>
  <dataValidations disablePrompts="1" count="1">
    <dataValidation type="decimal" allowBlank="1" showInputMessage="1" showErrorMessage="1" sqref="E59:E71 D58:D71 J59:K71 M59:N71 G59:H71 P59:Q71">
      <formula1>-1E+23</formula1>
      <formula2>1E+26</formula2>
    </dataValidation>
  </dataValidations>
  <pageMargins left="5.5555555555555601E-3" right="5.5555555555555601E-3" top="0.48" bottom="0.34" header="0.3" footer="0.17"/>
  <pageSetup paperSize="5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view="pageBreakPreview" topLeftCell="A127" zoomScale="60" zoomScaleNormal="90" workbookViewId="0">
      <selection activeCell="S158" sqref="S158"/>
    </sheetView>
  </sheetViews>
  <sheetFormatPr defaultRowHeight="14.25"/>
  <cols>
    <col min="1" max="1" width="9.140625" style="248"/>
    <col min="2" max="2" width="49.28515625" style="248" bestFit="1" customWidth="1"/>
    <col min="3" max="3" width="10.85546875" style="248" bestFit="1" customWidth="1"/>
    <col min="4" max="4" width="16.5703125" style="248" bestFit="1" customWidth="1"/>
    <col min="5" max="6" width="14" style="248" bestFit="1" customWidth="1"/>
    <col min="7" max="7" width="49.28515625" style="248" bestFit="1" customWidth="1"/>
    <col min="8" max="8" width="10.85546875" style="248" bestFit="1" customWidth="1"/>
    <col min="9" max="9" width="15" style="248" customWidth="1"/>
    <col min="10" max="10" width="14" style="248" bestFit="1" customWidth="1"/>
    <col min="11" max="11" width="13.28515625" style="248" bestFit="1" customWidth="1"/>
    <col min="12" max="16384" width="9.140625" style="248"/>
  </cols>
  <sheetData>
    <row r="1" spans="1:5" ht="15.75">
      <c r="B1" s="322" t="s">
        <v>185</v>
      </c>
      <c r="C1" s="322"/>
      <c r="D1" s="322"/>
      <c r="E1" s="247" t="s">
        <v>112</v>
      </c>
    </row>
    <row r="2" spans="1:5" ht="15">
      <c r="B2" s="249" t="s">
        <v>113</v>
      </c>
      <c r="C2" s="250" t="s">
        <v>15</v>
      </c>
      <c r="D2" s="250" t="s">
        <v>16</v>
      </c>
      <c r="E2" s="250" t="s">
        <v>114</v>
      </c>
    </row>
    <row r="3" spans="1:5" ht="15">
      <c r="B3" s="249" t="s">
        <v>116</v>
      </c>
      <c r="C3" s="323"/>
      <c r="D3" s="323"/>
      <c r="E3" s="323"/>
    </row>
    <row r="4" spans="1:5">
      <c r="B4" s="251" t="s">
        <v>117</v>
      </c>
      <c r="C4" s="252">
        <f>C82</f>
        <v>2628.95</v>
      </c>
      <c r="D4" s="252">
        <f>D82</f>
        <v>2576.1288408320002</v>
      </c>
      <c r="E4" s="253">
        <f t="shared" ref="E4:E13" si="0">D4-C4</f>
        <v>-52.821159167999667</v>
      </c>
    </row>
    <row r="5" spans="1:5">
      <c r="B5" s="251" t="s">
        <v>22</v>
      </c>
      <c r="C5" s="252">
        <f>C126</f>
        <v>573.77455694905791</v>
      </c>
      <c r="D5" s="254">
        <f>D126</f>
        <v>583.21738026491028</v>
      </c>
      <c r="E5" s="253">
        <f t="shared" si="0"/>
        <v>9.4428233158523653</v>
      </c>
    </row>
    <row r="6" spans="1:5">
      <c r="B6" s="251" t="s">
        <v>62</v>
      </c>
      <c r="C6" s="252">
        <f>C88</f>
        <v>759.54</v>
      </c>
      <c r="D6" s="252">
        <v>986.56</v>
      </c>
      <c r="E6" s="253">
        <f t="shared" si="0"/>
        <v>227.01999999999998</v>
      </c>
    </row>
    <row r="7" spans="1:5">
      <c r="B7" s="251" t="s">
        <v>26</v>
      </c>
      <c r="C7" s="252">
        <f>C44</f>
        <v>39.049999999999997</v>
      </c>
      <c r="D7" s="252">
        <f>D44</f>
        <v>0</v>
      </c>
      <c r="E7" s="253">
        <f t="shared" si="0"/>
        <v>-39.049999999999997</v>
      </c>
    </row>
    <row r="8" spans="1:5">
      <c r="B8" s="251" t="s">
        <v>118</v>
      </c>
      <c r="C8" s="252">
        <f>C38</f>
        <v>20</v>
      </c>
      <c r="D8" s="252">
        <f>D38</f>
        <v>0</v>
      </c>
      <c r="E8" s="253">
        <f t="shared" si="0"/>
        <v>-20</v>
      </c>
    </row>
    <row r="9" spans="1:5">
      <c r="B9" s="255" t="s">
        <v>30</v>
      </c>
      <c r="C9" s="252">
        <v>0</v>
      </c>
      <c r="D9" s="252">
        <f>D135</f>
        <v>19.789825700000002</v>
      </c>
      <c r="E9" s="253">
        <f t="shared" si="0"/>
        <v>19.789825700000002</v>
      </c>
    </row>
    <row r="10" spans="1:5" ht="15">
      <c r="B10" s="256" t="s">
        <v>119</v>
      </c>
      <c r="C10" s="257">
        <f>SUM(C4:C9)</f>
        <v>4021.314556949058</v>
      </c>
      <c r="D10" s="257">
        <f>SUM(D4:D9)</f>
        <v>4165.6960467969102</v>
      </c>
      <c r="E10" s="258">
        <f t="shared" si="0"/>
        <v>144.38148984785221</v>
      </c>
    </row>
    <row r="11" spans="1:5">
      <c r="B11" s="251" t="s">
        <v>120</v>
      </c>
      <c r="C11" s="303">
        <f>C32</f>
        <v>450.65</v>
      </c>
      <c r="D11" s="303">
        <f>D32+C162</f>
        <v>413.18</v>
      </c>
      <c r="E11" s="253">
        <f t="shared" si="0"/>
        <v>-37.46999999999997</v>
      </c>
    </row>
    <row r="12" spans="1:5">
      <c r="B12" s="251" t="s">
        <v>121</v>
      </c>
      <c r="C12" s="303">
        <f>C26</f>
        <v>24.84</v>
      </c>
      <c r="D12" s="303">
        <f>D26</f>
        <v>13.15</v>
      </c>
      <c r="E12" s="253">
        <f t="shared" si="0"/>
        <v>-11.69</v>
      </c>
    </row>
    <row r="13" spans="1:5" ht="15">
      <c r="B13" s="256" t="s">
        <v>122</v>
      </c>
      <c r="C13" s="257">
        <f>C10-C11-C12</f>
        <v>3545.8245569490578</v>
      </c>
      <c r="D13" s="257">
        <f>D10-D11-D12</f>
        <v>3739.3660467969103</v>
      </c>
      <c r="E13" s="258">
        <f t="shared" si="0"/>
        <v>193.54148984785252</v>
      </c>
    </row>
    <row r="14" spans="1:5">
      <c r="B14" s="324"/>
      <c r="C14" s="324"/>
      <c r="D14" s="324"/>
      <c r="E14" s="324"/>
    </row>
    <row r="15" spans="1:5" s="261" customFormat="1" ht="15">
      <c r="A15" s="248"/>
      <c r="B15" s="259" t="s">
        <v>123</v>
      </c>
      <c r="C15" s="260"/>
      <c r="D15" s="260"/>
      <c r="E15" s="260"/>
    </row>
    <row r="16" spans="1:5" s="261" customFormat="1">
      <c r="A16" s="248"/>
      <c r="B16" s="260" t="s">
        <v>124</v>
      </c>
      <c r="C16" s="262">
        <f>C10-C11-C12</f>
        <v>3545.8245569490578</v>
      </c>
      <c r="D16" s="262">
        <f>C16</f>
        <v>3545.8245569490578</v>
      </c>
      <c r="E16" s="263">
        <f t="shared" ref="E16:E19" si="1">D16-C16</f>
        <v>0</v>
      </c>
    </row>
    <row r="17" spans="1:5" s="261" customFormat="1" ht="15">
      <c r="A17" s="248"/>
      <c r="B17" s="264" t="s">
        <v>38</v>
      </c>
      <c r="C17" s="265">
        <f>C16+C11+C12</f>
        <v>4021.314556949058</v>
      </c>
      <c r="D17" s="265">
        <f>D16+D11+D12</f>
        <v>3972.1545569490577</v>
      </c>
      <c r="E17" s="266">
        <f t="shared" si="1"/>
        <v>-49.160000000000309</v>
      </c>
    </row>
    <row r="18" spans="1:5" s="261" customFormat="1" ht="15">
      <c r="A18" s="248"/>
      <c r="B18" s="267" t="s">
        <v>125</v>
      </c>
      <c r="C18" s="262">
        <f>C10-C17</f>
        <v>0</v>
      </c>
      <c r="D18" s="265">
        <f>D10-D17</f>
        <v>193.54148984785252</v>
      </c>
      <c r="E18" s="263">
        <f t="shared" si="1"/>
        <v>193.54148984785252</v>
      </c>
    </row>
    <row r="19" spans="1:5" s="261" customFormat="1">
      <c r="A19" s="248"/>
      <c r="B19" s="267" t="s">
        <v>41</v>
      </c>
      <c r="C19" s="268">
        <v>0</v>
      </c>
      <c r="D19" s="268">
        <v>0</v>
      </c>
      <c r="E19" s="263">
        <f t="shared" si="1"/>
        <v>0</v>
      </c>
    </row>
    <row r="20" spans="1:5" s="261" customFormat="1" ht="15">
      <c r="A20" s="248"/>
      <c r="B20" s="264" t="s">
        <v>126</v>
      </c>
      <c r="C20" s="265">
        <f>C18-C19</f>
        <v>0</v>
      </c>
      <c r="D20" s="265">
        <f t="shared" ref="D20:E20" si="2">D18-D19</f>
        <v>193.54148984785252</v>
      </c>
      <c r="E20" s="266">
        <f t="shared" si="2"/>
        <v>193.54148984785252</v>
      </c>
    </row>
    <row r="23" spans="1:5" ht="15.75">
      <c r="B23" s="322" t="s">
        <v>127</v>
      </c>
      <c r="C23" s="322"/>
      <c r="D23" s="322"/>
      <c r="E23" s="247" t="s">
        <v>112</v>
      </c>
    </row>
    <row r="24" spans="1:5" ht="15">
      <c r="B24" s="249" t="s">
        <v>113</v>
      </c>
      <c r="C24" s="250" t="s">
        <v>15</v>
      </c>
      <c r="D24" s="250" t="s">
        <v>16</v>
      </c>
      <c r="E24" s="250" t="s">
        <v>114</v>
      </c>
    </row>
    <row r="25" spans="1:5" ht="15">
      <c r="B25" s="249" t="s">
        <v>116</v>
      </c>
      <c r="C25" s="328"/>
      <c r="D25" s="329"/>
      <c r="E25" s="330"/>
    </row>
    <row r="26" spans="1:5">
      <c r="B26" s="251" t="s">
        <v>127</v>
      </c>
      <c r="C26" s="251">
        <v>24.84</v>
      </c>
      <c r="D26" s="251">
        <v>13.15</v>
      </c>
      <c r="E26" s="253">
        <f t="shared" ref="E26" si="3">D26-C26</f>
        <v>-11.69</v>
      </c>
    </row>
    <row r="29" spans="1:5" ht="15.75">
      <c r="B29" s="322" t="s">
        <v>128</v>
      </c>
      <c r="C29" s="322"/>
      <c r="D29" s="322"/>
      <c r="E29" s="247" t="s">
        <v>112</v>
      </c>
    </row>
    <row r="30" spans="1:5" ht="15">
      <c r="B30" s="249" t="s">
        <v>113</v>
      </c>
      <c r="C30" s="250" t="s">
        <v>15</v>
      </c>
      <c r="D30" s="250" t="s">
        <v>16</v>
      </c>
      <c r="E30" s="250" t="s">
        <v>114</v>
      </c>
    </row>
    <row r="31" spans="1:5" ht="15">
      <c r="B31" s="249" t="s">
        <v>116</v>
      </c>
      <c r="C31" s="328"/>
      <c r="D31" s="329"/>
      <c r="E31" s="330"/>
    </row>
    <row r="32" spans="1:5">
      <c r="B32" s="251" t="s">
        <v>128</v>
      </c>
      <c r="C32" s="251">
        <v>450.65</v>
      </c>
      <c r="D32" s="251">
        <f>C160</f>
        <v>69.440000000000012</v>
      </c>
      <c r="E32" s="253">
        <f t="shared" ref="E32" si="4">D32-C32</f>
        <v>-381.21</v>
      </c>
    </row>
    <row r="35" spans="2:5" ht="15.75">
      <c r="B35" s="322" t="s">
        <v>118</v>
      </c>
      <c r="C35" s="322"/>
      <c r="D35" s="322"/>
      <c r="E35" s="247" t="s">
        <v>112</v>
      </c>
    </row>
    <row r="36" spans="2:5" ht="15">
      <c r="B36" s="249" t="s">
        <v>113</v>
      </c>
      <c r="C36" s="250" t="s">
        <v>15</v>
      </c>
      <c r="D36" s="250" t="s">
        <v>16</v>
      </c>
      <c r="E36" s="250" t="s">
        <v>114</v>
      </c>
    </row>
    <row r="37" spans="2:5">
      <c r="B37" s="269" t="s">
        <v>116</v>
      </c>
      <c r="C37" s="325"/>
      <c r="D37" s="326"/>
      <c r="E37" s="327"/>
    </row>
    <row r="38" spans="2:5">
      <c r="B38" s="251" t="s">
        <v>118</v>
      </c>
      <c r="C38" s="252">
        <v>20</v>
      </c>
      <c r="D38" s="252">
        <v>0</v>
      </c>
      <c r="E38" s="253">
        <f t="shared" ref="E38" si="5">D38-C38</f>
        <v>-20</v>
      </c>
    </row>
    <row r="39" spans="2:5">
      <c r="B39" s="248" t="s">
        <v>129</v>
      </c>
    </row>
    <row r="41" spans="2:5" ht="15.75">
      <c r="B41" s="322" t="s">
        <v>130</v>
      </c>
      <c r="C41" s="322"/>
      <c r="D41" s="322"/>
      <c r="E41" s="247" t="s">
        <v>112</v>
      </c>
    </row>
    <row r="42" spans="2:5" ht="15">
      <c r="B42" s="249" t="s">
        <v>113</v>
      </c>
      <c r="C42" s="250" t="s">
        <v>15</v>
      </c>
      <c r="D42" s="250" t="s">
        <v>16</v>
      </c>
      <c r="E42" s="250" t="s">
        <v>114</v>
      </c>
    </row>
    <row r="43" spans="2:5">
      <c r="B43" s="269" t="s">
        <v>116</v>
      </c>
      <c r="C43" s="325"/>
      <c r="D43" s="326"/>
      <c r="E43" s="327"/>
    </row>
    <row r="44" spans="2:5">
      <c r="B44" s="251" t="s">
        <v>130</v>
      </c>
      <c r="C44" s="251">
        <v>39.049999999999997</v>
      </c>
      <c r="D44" s="251">
        <v>0</v>
      </c>
      <c r="E44" s="253">
        <f t="shared" ref="E44" si="6">D44-C44</f>
        <v>-39.049999999999997</v>
      </c>
    </row>
    <row r="47" spans="2:5" ht="15.75">
      <c r="B47" s="322" t="s">
        <v>131</v>
      </c>
      <c r="C47" s="322"/>
      <c r="D47" s="322"/>
      <c r="E47" s="247" t="s">
        <v>112</v>
      </c>
    </row>
    <row r="48" spans="2:5" ht="15">
      <c r="B48" s="249" t="s">
        <v>113</v>
      </c>
      <c r="C48" s="250" t="s">
        <v>15</v>
      </c>
      <c r="D48" s="250" t="s">
        <v>16</v>
      </c>
      <c r="E48" s="250" t="s">
        <v>114</v>
      </c>
    </row>
    <row r="49" spans="2:5">
      <c r="B49" s="269" t="s">
        <v>116</v>
      </c>
      <c r="C49" s="325"/>
      <c r="D49" s="326"/>
      <c r="E49" s="327"/>
    </row>
    <row r="50" spans="2:5" ht="15">
      <c r="B50" s="256" t="s">
        <v>131</v>
      </c>
      <c r="C50" s="256">
        <f>SUM(C51:C53)</f>
        <v>1278.6000000000001</v>
      </c>
      <c r="D50" s="256">
        <f>SUM(D51:D53)</f>
        <v>1506.22</v>
      </c>
      <c r="E50" s="258">
        <f t="shared" ref="E50:E54" si="7">D50-C50</f>
        <v>227.61999999999989</v>
      </c>
    </row>
    <row r="51" spans="2:5">
      <c r="B51" s="270" t="s">
        <v>132</v>
      </c>
      <c r="C51" s="251">
        <v>1120.92</v>
      </c>
      <c r="D51" s="251">
        <v>1384.82</v>
      </c>
      <c r="E51" s="253">
        <f t="shared" si="7"/>
        <v>263.89999999999986</v>
      </c>
    </row>
    <row r="52" spans="2:5">
      <c r="B52" s="270" t="s">
        <v>133</v>
      </c>
      <c r="C52" s="251">
        <v>100.15</v>
      </c>
      <c r="D52" s="251">
        <v>105.25</v>
      </c>
      <c r="E52" s="253">
        <f t="shared" si="7"/>
        <v>5.0999999999999943</v>
      </c>
    </row>
    <row r="53" spans="2:5">
      <c r="B53" s="270" t="s">
        <v>134</v>
      </c>
      <c r="C53" s="251">
        <v>57.53</v>
      </c>
      <c r="D53" s="251">
        <v>16.149999999999999</v>
      </c>
      <c r="E53" s="253">
        <f t="shared" si="7"/>
        <v>-41.38</v>
      </c>
    </row>
    <row r="54" spans="2:5" ht="15">
      <c r="B54" s="256" t="s">
        <v>135</v>
      </c>
      <c r="C54" s="256">
        <v>1713.51</v>
      </c>
      <c r="D54" s="256">
        <v>2225.25</v>
      </c>
      <c r="E54" s="258">
        <f t="shared" si="7"/>
        <v>511.74</v>
      </c>
    </row>
    <row r="57" spans="2:5" ht="15.75">
      <c r="B57" s="322" t="s">
        <v>136</v>
      </c>
      <c r="C57" s="322"/>
      <c r="D57" s="322"/>
      <c r="E57" s="247" t="s">
        <v>112</v>
      </c>
    </row>
    <row r="58" spans="2:5" ht="15">
      <c r="B58" s="249" t="s">
        <v>113</v>
      </c>
      <c r="C58" s="250" t="s">
        <v>15</v>
      </c>
      <c r="D58" s="250" t="s">
        <v>16</v>
      </c>
      <c r="E58" s="250" t="s">
        <v>114</v>
      </c>
    </row>
    <row r="59" spans="2:5">
      <c r="B59" s="269" t="s">
        <v>116</v>
      </c>
      <c r="C59" s="325"/>
      <c r="D59" s="326"/>
      <c r="E59" s="327"/>
    </row>
    <row r="60" spans="2:5" ht="15">
      <c r="B60" s="256" t="s">
        <v>103</v>
      </c>
      <c r="C60" s="257">
        <f>SUM(C61:C63)</f>
        <v>2729.1</v>
      </c>
      <c r="D60" s="257">
        <f>SUM(D61:D63)</f>
        <v>2681.3788408320002</v>
      </c>
      <c r="E60" s="258">
        <f t="shared" ref="E60:E65" si="8">D60-C60</f>
        <v>-47.721159167999758</v>
      </c>
    </row>
    <row r="61" spans="2:5">
      <c r="B61" s="270" t="s">
        <v>137</v>
      </c>
      <c r="C61" s="252">
        <v>2411.1442517848536</v>
      </c>
      <c r="D61" s="252">
        <v>2403.9526867560003</v>
      </c>
      <c r="E61" s="253">
        <f t="shared" si="8"/>
        <v>-7.191565028853347</v>
      </c>
    </row>
    <row r="62" spans="2:5">
      <c r="B62" s="270" t="s">
        <v>138</v>
      </c>
      <c r="C62" s="252">
        <v>174.28677141880269</v>
      </c>
      <c r="D62" s="252">
        <v>162.53145775499999</v>
      </c>
      <c r="E62" s="253">
        <f t="shared" si="8"/>
        <v>-11.755313663802696</v>
      </c>
    </row>
    <row r="63" spans="2:5">
      <c r="B63" s="270" t="s">
        <v>139</v>
      </c>
      <c r="C63" s="252">
        <v>143.66897679634343</v>
      </c>
      <c r="D63" s="252">
        <v>114.89469632100003</v>
      </c>
      <c r="E63" s="253">
        <f t="shared" si="8"/>
        <v>-28.774280475343403</v>
      </c>
    </row>
    <row r="64" spans="2:5">
      <c r="B64" s="270" t="s">
        <v>140</v>
      </c>
      <c r="C64" s="252">
        <v>100.15</v>
      </c>
      <c r="D64" s="252">
        <v>105.26</v>
      </c>
      <c r="E64" s="253">
        <f t="shared" si="8"/>
        <v>5.1099999999999994</v>
      </c>
    </row>
    <row r="65" spans="2:5" ht="15">
      <c r="B65" s="271" t="s">
        <v>141</v>
      </c>
      <c r="C65" s="257">
        <f>C60-C64</f>
        <v>2628.95</v>
      </c>
      <c r="D65" s="257">
        <f>D60-D64</f>
        <v>2576.1188408319999</v>
      </c>
      <c r="E65" s="258">
        <f t="shared" si="8"/>
        <v>-52.831159167999886</v>
      </c>
    </row>
    <row r="68" spans="2:5" ht="15.75">
      <c r="B68" s="322" t="s">
        <v>142</v>
      </c>
      <c r="C68" s="322"/>
      <c r="D68" s="322"/>
      <c r="E68" s="247" t="s">
        <v>112</v>
      </c>
    </row>
    <row r="69" spans="2:5" ht="15">
      <c r="B69" s="249" t="s">
        <v>113</v>
      </c>
      <c r="C69" s="250" t="s">
        <v>15</v>
      </c>
      <c r="D69" s="250" t="s">
        <v>16</v>
      </c>
      <c r="E69" s="250" t="s">
        <v>114</v>
      </c>
    </row>
    <row r="70" spans="2:5">
      <c r="B70" s="269" t="s">
        <v>116</v>
      </c>
      <c r="C70" s="325"/>
      <c r="D70" s="326"/>
      <c r="E70" s="327"/>
    </row>
    <row r="71" spans="2:5">
      <c r="B71" s="272" t="s">
        <v>143</v>
      </c>
      <c r="C71" s="332">
        <f>C64</f>
        <v>100.15</v>
      </c>
      <c r="D71" s="273">
        <v>89.51</v>
      </c>
      <c r="E71" s="253">
        <f t="shared" ref="E71:E73" si="9">D71-C71</f>
        <v>-10.64</v>
      </c>
    </row>
    <row r="72" spans="2:5">
      <c r="B72" s="272" t="s">
        <v>144</v>
      </c>
      <c r="C72" s="333"/>
      <c r="D72" s="273">
        <v>15.74</v>
      </c>
      <c r="E72" s="253">
        <f t="shared" si="9"/>
        <v>15.74</v>
      </c>
    </row>
    <row r="73" spans="2:5" ht="15">
      <c r="B73" s="271" t="s">
        <v>145</v>
      </c>
      <c r="C73" s="274">
        <f>SUM(C71:C72)</f>
        <v>100.15</v>
      </c>
      <c r="D73" s="275">
        <f>SUM(D71:D72)</f>
        <v>105.25</v>
      </c>
      <c r="E73" s="258">
        <f t="shared" si="9"/>
        <v>5.0999999999999943</v>
      </c>
    </row>
    <row r="74" spans="2:5">
      <c r="B74" s="276"/>
      <c r="C74" s="277"/>
      <c r="D74" s="277"/>
      <c r="E74" s="277"/>
    </row>
    <row r="76" spans="2:5" ht="15.75">
      <c r="B76" s="336" t="s">
        <v>146</v>
      </c>
      <c r="C76" s="336"/>
      <c r="D76" s="336"/>
      <c r="E76" s="247" t="s">
        <v>112</v>
      </c>
    </row>
    <row r="77" spans="2:5" ht="15">
      <c r="B77" s="249" t="s">
        <v>113</v>
      </c>
      <c r="C77" s="250" t="s">
        <v>15</v>
      </c>
      <c r="D77" s="250" t="s">
        <v>16</v>
      </c>
      <c r="E77" s="250" t="s">
        <v>114</v>
      </c>
    </row>
    <row r="78" spans="2:5">
      <c r="B78" s="269" t="s">
        <v>116</v>
      </c>
      <c r="C78" s="325"/>
      <c r="D78" s="326"/>
      <c r="E78" s="327"/>
    </row>
    <row r="79" spans="2:5">
      <c r="B79" s="251" t="s">
        <v>137</v>
      </c>
      <c r="C79" s="252">
        <f>C61-C73</f>
        <v>2310.9942517848535</v>
      </c>
      <c r="D79" s="252">
        <f>D61-D71</f>
        <v>2314.4426867560001</v>
      </c>
      <c r="E79" s="253">
        <f t="shared" ref="E79:E82" si="10">D79-C79</f>
        <v>3.4484349711465256</v>
      </c>
    </row>
    <row r="80" spans="2:5">
      <c r="B80" s="251" t="s">
        <v>138</v>
      </c>
      <c r="C80" s="252">
        <f>C62</f>
        <v>174.28677141880269</v>
      </c>
      <c r="D80" s="252">
        <f>D62-D72</f>
        <v>146.79145775499998</v>
      </c>
      <c r="E80" s="253">
        <f t="shared" si="10"/>
        <v>-27.495313663802705</v>
      </c>
    </row>
    <row r="81" spans="2:6">
      <c r="B81" s="251" t="s">
        <v>139</v>
      </c>
      <c r="C81" s="252">
        <f>C63</f>
        <v>143.66897679634343</v>
      </c>
      <c r="D81" s="252">
        <f>D63</f>
        <v>114.89469632100003</v>
      </c>
      <c r="E81" s="253">
        <f t="shared" si="10"/>
        <v>-28.774280475343403</v>
      </c>
    </row>
    <row r="82" spans="2:6" ht="15">
      <c r="B82" s="271" t="s">
        <v>141</v>
      </c>
      <c r="C82" s="257">
        <f>SUM(C79:C81)</f>
        <v>2628.95</v>
      </c>
      <c r="D82" s="257">
        <f>SUM(D79:D81)</f>
        <v>2576.1288408320002</v>
      </c>
      <c r="E82" s="258">
        <f t="shared" si="10"/>
        <v>-52.821159167999667</v>
      </c>
    </row>
    <row r="85" spans="2:6" ht="15.75">
      <c r="B85" s="322" t="s">
        <v>62</v>
      </c>
      <c r="C85" s="322"/>
      <c r="D85" s="322"/>
      <c r="E85" s="247" t="s">
        <v>112</v>
      </c>
    </row>
    <row r="86" spans="2:6" ht="15">
      <c r="B86" s="249" t="s">
        <v>113</v>
      </c>
      <c r="C86" s="250" t="s">
        <v>15</v>
      </c>
      <c r="D86" s="250" t="s">
        <v>186</v>
      </c>
      <c r="E86" s="250" t="s">
        <v>114</v>
      </c>
    </row>
    <row r="87" spans="2:6">
      <c r="B87" s="269" t="s">
        <v>116</v>
      </c>
      <c r="C87" s="325"/>
      <c r="D87" s="326"/>
      <c r="E87" s="327"/>
    </row>
    <row r="88" spans="2:6" ht="28.5">
      <c r="B88" s="278" t="s">
        <v>108</v>
      </c>
      <c r="C88" s="251">
        <v>759.54</v>
      </c>
      <c r="D88" s="251">
        <f>986.56-343.74</f>
        <v>642.81999999999994</v>
      </c>
      <c r="E88" s="253">
        <f>D88-C88</f>
        <v>-116.72000000000003</v>
      </c>
    </row>
    <row r="91" spans="2:6" ht="15.75">
      <c r="B91" s="322" t="s">
        <v>147</v>
      </c>
      <c r="C91" s="322"/>
      <c r="D91" s="322"/>
      <c r="E91" s="322"/>
      <c r="F91" s="247" t="s">
        <v>112</v>
      </c>
    </row>
    <row r="92" spans="2:6" ht="30">
      <c r="B92" s="249" t="s">
        <v>113</v>
      </c>
      <c r="C92" s="279" t="s">
        <v>63</v>
      </c>
      <c r="D92" s="279" t="s">
        <v>148</v>
      </c>
      <c r="E92" s="279" t="s">
        <v>149</v>
      </c>
      <c r="F92" s="250" t="s">
        <v>150</v>
      </c>
    </row>
    <row r="93" spans="2:6">
      <c r="B93" s="269" t="s">
        <v>116</v>
      </c>
      <c r="C93" s="325"/>
      <c r="D93" s="326"/>
      <c r="E93" s="326"/>
      <c r="F93" s="327"/>
    </row>
    <row r="94" spans="2:6">
      <c r="B94" s="251" t="s">
        <v>151</v>
      </c>
      <c r="C94" s="251">
        <v>3708.36</v>
      </c>
      <c r="D94" s="251">
        <v>4647.43</v>
      </c>
      <c r="E94" s="252">
        <v>415.05</v>
      </c>
      <c r="F94" s="280">
        <f>E94/AVERAGE(C94:D94)</f>
        <v>9.9344287015351029E-2</v>
      </c>
    </row>
    <row r="96" spans="2:6" ht="15">
      <c r="B96" s="249" t="s">
        <v>113</v>
      </c>
      <c r="C96" s="250" t="s">
        <v>15</v>
      </c>
      <c r="D96" s="250" t="s">
        <v>16</v>
      </c>
      <c r="E96" s="250" t="s">
        <v>114</v>
      </c>
    </row>
    <row r="97" spans="2:5">
      <c r="B97" s="269" t="s">
        <v>116</v>
      </c>
      <c r="C97" s="331"/>
      <c r="D97" s="331"/>
      <c r="E97" s="331"/>
    </row>
    <row r="98" spans="2:5">
      <c r="B98" s="251" t="s">
        <v>56</v>
      </c>
      <c r="C98" s="280">
        <v>0.75</v>
      </c>
      <c r="D98" s="280">
        <v>0.75</v>
      </c>
      <c r="E98" s="253">
        <f t="shared" ref="E98:E102" si="11">D98-C98</f>
        <v>0</v>
      </c>
    </row>
    <row r="99" spans="2:5">
      <c r="B99" s="251" t="s">
        <v>57</v>
      </c>
      <c r="C99" s="280">
        <v>0.25</v>
      </c>
      <c r="D99" s="280">
        <v>0.25</v>
      </c>
      <c r="E99" s="253">
        <f t="shared" si="11"/>
        <v>0</v>
      </c>
    </row>
    <row r="100" spans="2:5">
      <c r="B100" s="251" t="s">
        <v>150</v>
      </c>
      <c r="C100" s="280">
        <v>9.8500000000000004E-2</v>
      </c>
      <c r="D100" s="280">
        <f>F94</f>
        <v>9.9344287015351029E-2</v>
      </c>
      <c r="E100" s="280">
        <f t="shared" si="11"/>
        <v>8.4428701535102513E-4</v>
      </c>
    </row>
    <row r="101" spans="2:5">
      <c r="B101" s="251" t="s">
        <v>152</v>
      </c>
      <c r="C101" s="280">
        <v>0.14000000000000001</v>
      </c>
      <c r="D101" s="280">
        <v>0.14000000000000001</v>
      </c>
      <c r="E101" s="253">
        <f t="shared" si="11"/>
        <v>0</v>
      </c>
    </row>
    <row r="102" spans="2:5" ht="15">
      <c r="B102" s="271" t="s">
        <v>51</v>
      </c>
      <c r="C102" s="281">
        <f>(C100*C98)+(C101*C99)</f>
        <v>0.108875</v>
      </c>
      <c r="D102" s="281">
        <f>(D100*D98)+(D101*D99)</f>
        <v>0.10950821526151328</v>
      </c>
      <c r="E102" s="282">
        <f t="shared" si="11"/>
        <v>6.3321526151327578E-4</v>
      </c>
    </row>
    <row r="105" spans="2:5" ht="15.75">
      <c r="B105" s="322" t="s">
        <v>153</v>
      </c>
      <c r="C105" s="322"/>
      <c r="D105" s="322"/>
      <c r="E105" s="247" t="s">
        <v>112</v>
      </c>
    </row>
    <row r="106" spans="2:5" ht="15">
      <c r="B106" s="249" t="s">
        <v>113</v>
      </c>
      <c r="C106" s="250" t="s">
        <v>15</v>
      </c>
      <c r="D106" s="250" t="s">
        <v>115</v>
      </c>
      <c r="E106" s="250" t="s">
        <v>114</v>
      </c>
    </row>
    <row r="107" spans="2:5">
      <c r="B107" s="269" t="s">
        <v>116</v>
      </c>
      <c r="C107" s="325"/>
      <c r="D107" s="326"/>
      <c r="E107" s="327"/>
    </row>
    <row r="108" spans="2:5" ht="15">
      <c r="B108" s="256" t="s">
        <v>59</v>
      </c>
      <c r="C108" s="257">
        <f>SUM(C109:C110)</f>
        <v>15905.618258999</v>
      </c>
      <c r="D108" s="257">
        <f>SUM(D109:D110)</f>
        <v>16417.37</v>
      </c>
      <c r="E108" s="258">
        <f t="shared" ref="E108:E120" si="12">D108-C108</f>
        <v>511.75174100099866</v>
      </c>
    </row>
    <row r="109" spans="2:5">
      <c r="B109" s="270" t="s">
        <v>60</v>
      </c>
      <c r="C109" s="252">
        <v>14192.108258999</v>
      </c>
      <c r="D109" s="252">
        <v>14192.12</v>
      </c>
      <c r="E109" s="253">
        <f t="shared" si="12"/>
        <v>1.1741001000700635E-2</v>
      </c>
    </row>
    <row r="110" spans="2:5">
      <c r="B110" s="270" t="s">
        <v>61</v>
      </c>
      <c r="C110" s="252">
        <v>1713.51</v>
      </c>
      <c r="D110" s="252">
        <v>2225.2499999999982</v>
      </c>
      <c r="E110" s="253">
        <f t="shared" si="12"/>
        <v>511.73999999999819</v>
      </c>
    </row>
    <row r="111" spans="2:5" ht="15">
      <c r="B111" s="256" t="s">
        <v>62</v>
      </c>
      <c r="C111" s="257">
        <f>SUM(C112:C113)</f>
        <v>5001.1774752160009</v>
      </c>
      <c r="D111" s="283">
        <f>SUM(D112:D113)</f>
        <v>4884.4542259160007</v>
      </c>
      <c r="E111" s="284">
        <f t="shared" si="12"/>
        <v>-116.72324930000013</v>
      </c>
    </row>
    <row r="112" spans="2:5">
      <c r="B112" s="270" t="s">
        <v>63</v>
      </c>
      <c r="C112" s="252">
        <v>4241.6374752160009</v>
      </c>
      <c r="D112" s="254">
        <v>4241.6374752160009</v>
      </c>
      <c r="E112" s="285">
        <f t="shared" si="12"/>
        <v>0</v>
      </c>
    </row>
    <row r="113" spans="2:5">
      <c r="B113" s="270" t="s">
        <v>64</v>
      </c>
      <c r="C113" s="252">
        <v>759.54</v>
      </c>
      <c r="D113" s="254">
        <f>986.56-343.7432493</f>
        <v>642.81675069999994</v>
      </c>
      <c r="E113" s="285">
        <f t="shared" si="12"/>
        <v>-116.72324930000002</v>
      </c>
    </row>
    <row r="114" spans="2:5" ht="15">
      <c r="B114" s="256" t="s">
        <v>65</v>
      </c>
      <c r="C114" s="257">
        <f>SUM(C115:C116)</f>
        <v>5505.677788484345</v>
      </c>
      <c r="D114" s="283">
        <f>SUM(D115:D116)</f>
        <v>6013.85</v>
      </c>
      <c r="E114" s="284">
        <f t="shared" si="12"/>
        <v>508.17221151565536</v>
      </c>
    </row>
    <row r="115" spans="2:5">
      <c r="B115" s="270" t="s">
        <v>66</v>
      </c>
      <c r="C115" s="252">
        <v>5247.3313647859095</v>
      </c>
      <c r="D115" s="254">
        <v>5247.33</v>
      </c>
      <c r="E115" s="285">
        <f t="shared" si="12"/>
        <v>-1.3647859095726744E-3</v>
      </c>
    </row>
    <row r="116" spans="2:5">
      <c r="B116" s="270" t="s">
        <v>67</v>
      </c>
      <c r="C116" s="252">
        <v>258.34642369843544</v>
      </c>
      <c r="D116" s="254">
        <v>766.52000000000044</v>
      </c>
      <c r="E116" s="285">
        <f t="shared" si="12"/>
        <v>508.17357630156499</v>
      </c>
    </row>
    <row r="117" spans="2:5">
      <c r="B117" s="270" t="s">
        <v>102</v>
      </c>
      <c r="C117" s="252"/>
      <c r="D117" s="254"/>
      <c r="E117" s="285">
        <f t="shared" si="12"/>
        <v>0</v>
      </c>
    </row>
    <row r="118" spans="2:5" ht="15">
      <c r="B118" s="256" t="s">
        <v>68</v>
      </c>
      <c r="C118" s="257">
        <f>C4/12</f>
        <v>219.07916666666665</v>
      </c>
      <c r="D118" s="283">
        <f>D4/12</f>
        <v>214.67740340266667</v>
      </c>
      <c r="E118" s="284">
        <f t="shared" si="12"/>
        <v>-4.4017632639999817</v>
      </c>
    </row>
    <row r="119" spans="2:5" ht="15">
      <c r="B119" s="256" t="s">
        <v>69</v>
      </c>
      <c r="C119" s="257">
        <f>(C110-C113-C116)/2</f>
        <v>347.81178815078226</v>
      </c>
      <c r="D119" s="283">
        <f>(D110-D113-D116)/2</f>
        <v>407.95662464999896</v>
      </c>
      <c r="E119" s="284">
        <f t="shared" si="12"/>
        <v>60.144836499216694</v>
      </c>
    </row>
    <row r="120" spans="2:5" ht="15">
      <c r="B120" s="256" t="s">
        <v>70</v>
      </c>
      <c r="C120" s="257">
        <f>C109-C112-C115+C118+C119</f>
        <v>5270.0303738145385</v>
      </c>
      <c r="D120" s="283">
        <f>D109-D112-D115+D118+D119</f>
        <v>5325.7865528366656</v>
      </c>
      <c r="E120" s="284">
        <f t="shared" si="12"/>
        <v>55.756179022127071</v>
      </c>
    </row>
    <row r="123" spans="2:5" ht="15.75">
      <c r="B123" s="322" t="s">
        <v>22</v>
      </c>
      <c r="C123" s="322"/>
      <c r="D123" s="322"/>
      <c r="E123" s="247" t="s">
        <v>112</v>
      </c>
    </row>
    <row r="124" spans="2:5" ht="15">
      <c r="B124" s="249" t="s">
        <v>113</v>
      </c>
      <c r="C124" s="250" t="s">
        <v>15</v>
      </c>
      <c r="D124" s="250" t="s">
        <v>115</v>
      </c>
      <c r="E124" s="250" t="s">
        <v>114</v>
      </c>
    </row>
    <row r="125" spans="2:5">
      <c r="B125" s="269" t="s">
        <v>116</v>
      </c>
      <c r="C125" s="325"/>
      <c r="D125" s="326"/>
      <c r="E125" s="327"/>
    </row>
    <row r="126" spans="2:5">
      <c r="B126" s="272" t="s">
        <v>154</v>
      </c>
      <c r="C126" s="254">
        <f>C120*C102</f>
        <v>573.77455694905791</v>
      </c>
      <c r="D126" s="254">
        <f>D120*D102</f>
        <v>583.21738026491028</v>
      </c>
      <c r="E126" s="285">
        <f>D126-C126</f>
        <v>9.4428233158523653</v>
      </c>
    </row>
    <row r="129" spans="1:5" ht="15.75">
      <c r="B129" s="334" t="s">
        <v>30</v>
      </c>
      <c r="C129" s="334"/>
      <c r="D129" s="334"/>
      <c r="E129" s="286" t="s">
        <v>112</v>
      </c>
    </row>
    <row r="130" spans="1:5" ht="15">
      <c r="B130" s="287" t="s">
        <v>113</v>
      </c>
      <c r="C130" s="288" t="s">
        <v>15</v>
      </c>
      <c r="D130" s="250" t="s">
        <v>16</v>
      </c>
      <c r="E130" s="288" t="s">
        <v>114</v>
      </c>
    </row>
    <row r="131" spans="1:5">
      <c r="B131" s="289" t="s">
        <v>116</v>
      </c>
      <c r="C131" s="335"/>
      <c r="D131" s="335"/>
      <c r="E131" s="335"/>
    </row>
    <row r="132" spans="1:5">
      <c r="B132" s="251" t="s">
        <v>155</v>
      </c>
      <c r="C132" s="290">
        <v>0</v>
      </c>
      <c r="D132" s="290">
        <v>2.2582814999999998</v>
      </c>
      <c r="E132" s="291">
        <f t="shared" ref="E132:E135" si="13">D132-C132</f>
        <v>2.2582814999999998</v>
      </c>
    </row>
    <row r="133" spans="1:5">
      <c r="B133" s="292" t="s">
        <v>156</v>
      </c>
      <c r="C133" s="290">
        <v>0</v>
      </c>
      <c r="D133" s="293">
        <v>4.0315441999999999</v>
      </c>
      <c r="E133" s="291">
        <f t="shared" si="13"/>
        <v>4.0315441999999999</v>
      </c>
    </row>
    <row r="134" spans="1:5">
      <c r="B134" s="292" t="s">
        <v>157</v>
      </c>
      <c r="C134" s="290">
        <v>0</v>
      </c>
      <c r="D134" s="293">
        <v>13.5</v>
      </c>
      <c r="E134" s="291">
        <f t="shared" si="13"/>
        <v>13.5</v>
      </c>
    </row>
    <row r="135" spans="1:5" ht="15">
      <c r="B135" s="294" t="s">
        <v>158</v>
      </c>
      <c r="C135" s="295">
        <f>SUM(C132:C134)</f>
        <v>0</v>
      </c>
      <c r="D135" s="295">
        <f>SUM(D132:D134)</f>
        <v>19.789825700000002</v>
      </c>
      <c r="E135" s="296">
        <f t="shared" si="13"/>
        <v>19.789825700000002</v>
      </c>
    </row>
    <row r="137" spans="1:5" ht="15.75">
      <c r="C137" s="286" t="s">
        <v>112</v>
      </c>
    </row>
    <row r="138" spans="1:5" ht="15">
      <c r="A138" s="287" t="s">
        <v>159</v>
      </c>
      <c r="B138" s="287" t="s">
        <v>113</v>
      </c>
      <c r="C138" s="287" t="s">
        <v>160</v>
      </c>
    </row>
    <row r="139" spans="1:5">
      <c r="A139" s="251">
        <v>1</v>
      </c>
      <c r="B139" s="251" t="s">
        <v>161</v>
      </c>
      <c r="C139" s="297">
        <v>0.44</v>
      </c>
    </row>
    <row r="140" spans="1:5">
      <c r="A140" s="251">
        <v>2</v>
      </c>
      <c r="B140" s="251" t="s">
        <v>162</v>
      </c>
      <c r="C140" s="297">
        <v>5.81</v>
      </c>
    </row>
    <row r="141" spans="1:5">
      <c r="A141" s="251">
        <v>3</v>
      </c>
      <c r="B141" s="251" t="s">
        <v>163</v>
      </c>
      <c r="C141" s="297">
        <v>1.74</v>
      </c>
    </row>
    <row r="142" spans="1:5">
      <c r="A142" s="251">
        <v>4</v>
      </c>
      <c r="B142" s="251" t="s">
        <v>164</v>
      </c>
      <c r="C142" s="297">
        <v>0</v>
      </c>
    </row>
    <row r="143" spans="1:5">
      <c r="A143" s="251">
        <v>5</v>
      </c>
      <c r="B143" s="251" t="s">
        <v>165</v>
      </c>
      <c r="C143" s="297">
        <v>0.2</v>
      </c>
    </row>
    <row r="144" spans="1:5">
      <c r="A144" s="251">
        <v>6</v>
      </c>
      <c r="B144" s="251" t="s">
        <v>166</v>
      </c>
      <c r="C144" s="297">
        <v>0.27</v>
      </c>
    </row>
    <row r="145" spans="1:3">
      <c r="A145" s="251">
        <v>7</v>
      </c>
      <c r="B145" s="251" t="s">
        <v>167</v>
      </c>
      <c r="C145" s="297">
        <v>55.95</v>
      </c>
    </row>
    <row r="146" spans="1:3">
      <c r="A146" s="251">
        <v>8</v>
      </c>
      <c r="B146" s="251" t="s">
        <v>168</v>
      </c>
      <c r="C146" s="297">
        <f>SUM(C147:C148)</f>
        <v>0.62</v>
      </c>
    </row>
    <row r="147" spans="1:3">
      <c r="A147" s="251"/>
      <c r="B147" s="251" t="s">
        <v>169</v>
      </c>
      <c r="C147" s="297" t="s">
        <v>170</v>
      </c>
    </row>
    <row r="148" spans="1:3">
      <c r="A148" s="251"/>
      <c r="B148" s="251" t="s">
        <v>171</v>
      </c>
      <c r="C148" s="297">
        <v>0.62</v>
      </c>
    </row>
    <row r="149" spans="1:3">
      <c r="A149" s="251">
        <v>9</v>
      </c>
      <c r="B149" s="251" t="s">
        <v>172</v>
      </c>
      <c r="C149" s="297">
        <f>SUM(C150:C159)</f>
        <v>4.41</v>
      </c>
    </row>
    <row r="150" spans="1:3">
      <c r="A150" s="251"/>
      <c r="B150" s="298" t="s">
        <v>173</v>
      </c>
      <c r="C150" s="297">
        <v>0.52</v>
      </c>
    </row>
    <row r="151" spans="1:3">
      <c r="A151" s="251"/>
      <c r="B151" s="298" t="s">
        <v>174</v>
      </c>
      <c r="C151" s="297">
        <v>0</v>
      </c>
    </row>
    <row r="152" spans="1:3">
      <c r="A152" s="251"/>
      <c r="B152" s="298" t="s">
        <v>175</v>
      </c>
      <c r="C152" s="297">
        <v>0</v>
      </c>
    </row>
    <row r="153" spans="1:3">
      <c r="A153" s="251"/>
      <c r="B153" s="298" t="s">
        <v>176</v>
      </c>
      <c r="C153" s="297">
        <v>7.0000000000000007E-2</v>
      </c>
    </row>
    <row r="154" spans="1:3">
      <c r="A154" s="251"/>
      <c r="B154" s="298" t="s">
        <v>177</v>
      </c>
      <c r="C154" s="297">
        <v>1.76</v>
      </c>
    </row>
    <row r="155" spans="1:3">
      <c r="A155" s="251"/>
      <c r="B155" s="298" t="s">
        <v>178</v>
      </c>
      <c r="C155" s="297">
        <v>2.06</v>
      </c>
    </row>
    <row r="156" spans="1:3">
      <c r="A156" s="251"/>
      <c r="B156" s="298" t="s">
        <v>179</v>
      </c>
      <c r="C156" s="297">
        <v>0</v>
      </c>
    </row>
    <row r="157" spans="1:3">
      <c r="A157" s="251"/>
      <c r="B157" s="298" t="s">
        <v>180</v>
      </c>
      <c r="C157" s="297">
        <v>0</v>
      </c>
    </row>
    <row r="158" spans="1:3">
      <c r="A158" s="251"/>
      <c r="B158" s="298" t="s">
        <v>181</v>
      </c>
      <c r="C158" s="297">
        <v>0</v>
      </c>
    </row>
    <row r="159" spans="1:3">
      <c r="A159" s="251"/>
      <c r="B159" s="298" t="s">
        <v>182</v>
      </c>
      <c r="C159" s="297">
        <v>0</v>
      </c>
    </row>
    <row r="160" spans="1:3" ht="15">
      <c r="A160" s="299"/>
      <c r="B160" s="256" t="s">
        <v>183</v>
      </c>
      <c r="C160" s="300">
        <f>SUM(C149,C146,C145,C144,C143,C142,C141,C140,C139)</f>
        <v>69.440000000000012</v>
      </c>
    </row>
    <row r="162" spans="2:3">
      <c r="B162" s="248" t="s">
        <v>184</v>
      </c>
      <c r="C162" s="248">
        <v>343.74</v>
      </c>
    </row>
  </sheetData>
  <mergeCells count="31">
    <mergeCell ref="C125:E125"/>
    <mergeCell ref="B129:D129"/>
    <mergeCell ref="C131:E131"/>
    <mergeCell ref="B105:D105"/>
    <mergeCell ref="C107:E107"/>
    <mergeCell ref="B123:D123"/>
    <mergeCell ref="B85:D85"/>
    <mergeCell ref="C87:E87"/>
    <mergeCell ref="B91:E91"/>
    <mergeCell ref="C93:F93"/>
    <mergeCell ref="C97:E97"/>
    <mergeCell ref="B68:D68"/>
    <mergeCell ref="C70:E70"/>
    <mergeCell ref="C71:C72"/>
    <mergeCell ref="B76:D76"/>
    <mergeCell ref="C78:E78"/>
    <mergeCell ref="C59:E59"/>
    <mergeCell ref="B23:D23"/>
    <mergeCell ref="C25:E25"/>
    <mergeCell ref="B29:D29"/>
    <mergeCell ref="C31:E31"/>
    <mergeCell ref="B35:D35"/>
    <mergeCell ref="C37:E37"/>
    <mergeCell ref="B41:D41"/>
    <mergeCell ref="C43:E43"/>
    <mergeCell ref="B47:D47"/>
    <mergeCell ref="C49:E49"/>
    <mergeCell ref="B57:D57"/>
    <mergeCell ref="B1:D1"/>
    <mergeCell ref="C3:E3"/>
    <mergeCell ref="B14:E14"/>
  </mergeCells>
  <pageMargins left="0.7" right="0.7" top="0.75" bottom="0.75" header="0.3" footer="0.3"/>
  <pageSetup paperSize="5" orientation="landscape" r:id="rId1"/>
  <rowBreaks count="4" manualBreakCount="4">
    <brk id="33" max="5" man="1"/>
    <brk id="66" max="5" man="1"/>
    <brk id="94" max="5" man="1"/>
    <brk id="1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1st and 2ndDistribution True-up</vt:lpstr>
      <vt:lpstr>3rd Distribution True-up</vt:lpstr>
      <vt:lpstr>APR 2019-20</vt:lpstr>
      <vt:lpstr>'1st and 2ndDistribution True-up'!Print_Area</vt:lpstr>
      <vt:lpstr>'3rd Distribution True-up'!Print_Area</vt:lpstr>
      <vt:lpstr>'APR 2019-20'!Print_Area</vt:lpstr>
      <vt:lpstr>'1st and 2ndDistribution True-up'!Print_Titles</vt:lpstr>
      <vt:lpstr>'3rd Distribution True-up'!Print_Titles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AAORAC</dc:creator>
  <cp:lastModifiedBy>AAORAC</cp:lastModifiedBy>
  <cp:lastPrinted>2021-09-29T08:26:12Z</cp:lastPrinted>
  <dcterms:created xsi:type="dcterms:W3CDTF">2020-02-03T04:25:24Z</dcterms:created>
  <dcterms:modified xsi:type="dcterms:W3CDTF">2021-09-29T08:26:35Z</dcterms:modified>
</cp:coreProperties>
</file>